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2C56D1-4468-4CB8-B984-CA688AACB1CB}" xr6:coauthVersionLast="47" xr6:coauthVersionMax="47" xr10:uidLastSave="{00000000-0000-0000-0000-000000000000}"/>
  <bookViews>
    <workbookView xWindow="-120" yWindow="-120" windowWidth="23280" windowHeight="13200" tabRatio="175"/>
  </bookViews>
  <sheets>
    <sheet name="Summary" sheetId="1" r:id="rId1"/>
    <sheet name="ENA_9" sheetId="11" r:id="rId2"/>
    <sheet name="ENA_11" sheetId="13" r:id="rId3"/>
    <sheet name="ENA_12" sheetId="14" r:id="rId4"/>
    <sheet name="ENA_13" sheetId="15" r:id="rId5"/>
    <sheet name="Elpaso_6" sheetId="9" r:id="rId6"/>
    <sheet name="TC #HJN1001" sheetId="26" r:id="rId7"/>
    <sheet name="TC #HJN1002" sheetId="27" r:id="rId8"/>
    <sheet name="ENA #QH8057.1" sheetId="31" r:id="rId9"/>
    <sheet name="ENA #QF8229.1" sheetId="30" r:id="rId10"/>
    <sheet name="ENA #QF1003.1" sheetId="29" r:id="rId11"/>
    <sheet name="ENA #QF0992.1" sheetId="28" r:id="rId12"/>
    <sheet name="M337849" sheetId="32" r:id="rId13"/>
    <sheet name="QK7503.1" sheetId="33" r:id="rId14"/>
    <sheet name="12007624" sheetId="34" r:id="rId15"/>
    <sheet name="SW17" sheetId="35" r:id="rId16"/>
    <sheet name="SW18" sheetId="36" r:id="rId17"/>
    <sheet name="HJN1003" sheetId="37" r:id="rId18"/>
    <sheet name="HJN1004" sheetId="38" r:id="rId19"/>
    <sheet name="QL2915.1" sheetId="40" r:id="rId20"/>
    <sheet name="QL2918.1" sheetId="39" r:id="rId21"/>
    <sheet name="1129080" sheetId="41" r:id="rId22"/>
    <sheet name="ENA #QN5116.1" sheetId="44" r:id="rId23"/>
    <sheet name="Cal 02.a" sheetId="42" r:id="rId24"/>
    <sheet name="Cal 02.b" sheetId="43" r:id="rId25"/>
    <sheet name="QL5358.1" sheetId="45" r:id="rId26"/>
    <sheet name="QL5357.1" sheetId="46" r:id="rId27"/>
    <sheet name="QL9273.1" sheetId="48" r:id="rId28"/>
    <sheet name="QL9270.1" sheetId="47" r:id="rId29"/>
    <sheet name="QL5363.1" sheetId="49" r:id="rId30"/>
    <sheet name="QL5365.1" sheetId="50" r:id="rId31"/>
    <sheet name="QL5444.1" sheetId="52" r:id="rId32"/>
    <sheet name="QL5424.1" sheetId="51" r:id="rId33"/>
    <sheet name="RMTC_2-expired" sheetId="7" r:id="rId34"/>
    <sheet name="ENA #QA4309.1-Expired" sheetId="19" r:id="rId35"/>
    <sheet name="ENA #QA5217.1-Expired" sheetId="20" r:id="rId36"/>
    <sheet name="ElPaso #1009351-Expired" sheetId="24" r:id="rId37"/>
    <sheet name="ENA_19-Expired" sheetId="16" r:id="rId38"/>
    <sheet name="El Paso_18-Expired" sheetId="17" r:id="rId39"/>
    <sheet name="ENA_#QO886.1-Expired" sheetId="18" r:id="rId40"/>
    <sheet name="ENA O6763.1-Expired" sheetId="23" r:id="rId41"/>
    <sheet name="ENA_10-Expired" sheetId="12" r:id="rId42"/>
    <sheet name="Sempra_1_Expired" sheetId="3" r:id="rId43"/>
    <sheet name="MEC_8_Expired" sheetId="10" r:id="rId44"/>
    <sheet name="Avista_1_Expired" sheetId="2" r:id="rId45"/>
    <sheet name="Avista_2_Expired" sheetId="4" r:id="rId46"/>
    <sheet name="Sempra_2_Expired" sheetId="5" r:id="rId47"/>
    <sheet name="Sempra_2.1_Expired" sheetId="6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xlnm.Print_Area" localSheetId="44">Avista_1_Expired!$A$1:$K$41</definedName>
    <definedName name="_xlnm.Print_Area" localSheetId="45">Avista_2_Expired!$A$1:$K$46</definedName>
    <definedName name="_xlnm.Print_Area" localSheetId="42">Sempra_1_Expired!$A$1:$K$44</definedName>
    <definedName name="_xlnm.Print_Area" localSheetId="0">Summary!$1:$1048576</definedName>
    <definedName name="_xlnm.Print_Titles" localSheetId="0">Summary!$1:$5</definedName>
  </definedNames>
  <calcPr calcId="0" fullCalcOnLoad="1"/>
</workbook>
</file>

<file path=xl/calcChain.xml><?xml version="1.0" encoding="utf-8"?>
<calcChain xmlns="http://schemas.openxmlformats.org/spreadsheetml/2006/main">
  <c r="D10" i="41" l="1"/>
  <c r="F10" i="41"/>
  <c r="H10" i="41"/>
  <c r="I10" i="41"/>
  <c r="K10" i="41"/>
  <c r="F12" i="41"/>
  <c r="I12" i="41"/>
  <c r="J12" i="41"/>
  <c r="K12" i="41"/>
  <c r="H15" i="41"/>
  <c r="D10" i="34"/>
  <c r="I10" i="34"/>
  <c r="K10" i="34"/>
  <c r="F12" i="34"/>
  <c r="I12" i="34"/>
  <c r="J12" i="34"/>
  <c r="K12" i="34"/>
  <c r="G14" i="34"/>
  <c r="I14" i="34"/>
  <c r="K14" i="34"/>
  <c r="F16" i="34"/>
  <c r="I16" i="34"/>
  <c r="J16" i="34"/>
  <c r="K16" i="34"/>
  <c r="F19" i="34"/>
  <c r="I19" i="34"/>
  <c r="J19" i="34"/>
  <c r="K19" i="34"/>
  <c r="D10" i="2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F10" i="42"/>
  <c r="H10" i="42"/>
  <c r="I10" i="42"/>
  <c r="K10" i="42"/>
  <c r="F11" i="42"/>
  <c r="H11" i="42"/>
  <c r="I11" i="42"/>
  <c r="K11" i="42"/>
  <c r="F12" i="42"/>
  <c r="H12" i="42"/>
  <c r="I12" i="42"/>
  <c r="K12" i="42"/>
  <c r="F13" i="42"/>
  <c r="H13" i="42"/>
  <c r="I13" i="42"/>
  <c r="K13" i="42"/>
  <c r="F14" i="42"/>
  <c r="H14" i="42"/>
  <c r="I14" i="42"/>
  <c r="K14" i="42"/>
  <c r="F15" i="42"/>
  <c r="H15" i="42"/>
  <c r="I15" i="42"/>
  <c r="K15" i="42"/>
  <c r="F16" i="42"/>
  <c r="H16" i="42"/>
  <c r="I16" i="42"/>
  <c r="K16" i="42"/>
  <c r="F17" i="42"/>
  <c r="H17" i="42"/>
  <c r="I17" i="42"/>
  <c r="K17" i="42"/>
  <c r="F18" i="42"/>
  <c r="H18" i="42"/>
  <c r="I18" i="42"/>
  <c r="K18" i="42"/>
  <c r="F19" i="42"/>
  <c r="H19" i="42"/>
  <c r="I19" i="42"/>
  <c r="K19" i="42"/>
  <c r="F20" i="42"/>
  <c r="H20" i="42"/>
  <c r="I20" i="42"/>
  <c r="K20" i="42"/>
  <c r="F21" i="42"/>
  <c r="H21" i="42"/>
  <c r="I21" i="42"/>
  <c r="K21" i="42"/>
  <c r="F22" i="42"/>
  <c r="I22" i="42"/>
  <c r="J22" i="42"/>
  <c r="K22" i="42"/>
  <c r="F25" i="42"/>
  <c r="I25" i="42"/>
  <c r="J25" i="42"/>
  <c r="K25" i="42"/>
  <c r="D35" i="42"/>
  <c r="F35" i="42"/>
  <c r="H35" i="42"/>
  <c r="I35" i="42"/>
  <c r="D36" i="42"/>
  <c r="F36" i="42"/>
  <c r="H36" i="42"/>
  <c r="I36" i="42"/>
  <c r="D37" i="42"/>
  <c r="F37" i="42"/>
  <c r="H37" i="42"/>
  <c r="I37" i="42"/>
  <c r="D38" i="42"/>
  <c r="F38" i="42"/>
  <c r="H38" i="42"/>
  <c r="I38" i="42"/>
  <c r="D39" i="42"/>
  <c r="F39" i="42"/>
  <c r="H39" i="42"/>
  <c r="I39" i="42"/>
  <c r="D40" i="42"/>
  <c r="F40" i="42"/>
  <c r="H40" i="42"/>
  <c r="I40" i="42"/>
  <c r="D41" i="42"/>
  <c r="F41" i="42"/>
  <c r="H41" i="42"/>
  <c r="I41" i="42"/>
  <c r="D42" i="42"/>
  <c r="F42" i="42"/>
  <c r="H42" i="42"/>
  <c r="I42" i="42"/>
  <c r="D43" i="42"/>
  <c r="F43" i="42"/>
  <c r="H43" i="42"/>
  <c r="I43" i="42"/>
  <c r="D44" i="42"/>
  <c r="F44" i="42"/>
  <c r="H44" i="42"/>
  <c r="I44" i="42"/>
  <c r="D45" i="42"/>
  <c r="F45" i="42"/>
  <c r="H45" i="42"/>
  <c r="I45" i="42"/>
  <c r="D46" i="42"/>
  <c r="F46" i="42"/>
  <c r="H46" i="42"/>
  <c r="I46" i="42"/>
  <c r="I47" i="42"/>
  <c r="F10" i="43"/>
  <c r="H10" i="43"/>
  <c r="I10" i="43"/>
  <c r="K10" i="43"/>
  <c r="F11" i="43"/>
  <c r="H11" i="43"/>
  <c r="I11" i="43"/>
  <c r="K11" i="43"/>
  <c r="F12" i="43"/>
  <c r="H12" i="43"/>
  <c r="I12" i="43"/>
  <c r="K12" i="43"/>
  <c r="F13" i="43"/>
  <c r="H13" i="43"/>
  <c r="I13" i="43"/>
  <c r="K13" i="43"/>
  <c r="F14" i="43"/>
  <c r="H14" i="43"/>
  <c r="I14" i="43"/>
  <c r="K14" i="43"/>
  <c r="F15" i="43"/>
  <c r="H15" i="43"/>
  <c r="I15" i="43"/>
  <c r="K15" i="43"/>
  <c r="F16" i="43"/>
  <c r="H16" i="43"/>
  <c r="I16" i="43"/>
  <c r="K16" i="43"/>
  <c r="F17" i="43"/>
  <c r="H17" i="43"/>
  <c r="I17" i="43"/>
  <c r="K17" i="43"/>
  <c r="F18" i="43"/>
  <c r="H18" i="43"/>
  <c r="I18" i="43"/>
  <c r="K18" i="43"/>
  <c r="F19" i="43"/>
  <c r="H19" i="43"/>
  <c r="I19" i="43"/>
  <c r="K19" i="43"/>
  <c r="F20" i="43"/>
  <c r="H20" i="43"/>
  <c r="I20" i="43"/>
  <c r="K20" i="43"/>
  <c r="F21" i="43"/>
  <c r="H21" i="43"/>
  <c r="I21" i="43"/>
  <c r="K21" i="43"/>
  <c r="F22" i="43"/>
  <c r="I22" i="43"/>
  <c r="J22" i="43"/>
  <c r="K22" i="43"/>
  <c r="F25" i="43"/>
  <c r="I25" i="43"/>
  <c r="J25" i="43"/>
  <c r="K25" i="43"/>
  <c r="D35" i="43"/>
  <c r="F35" i="43"/>
  <c r="H35" i="43"/>
  <c r="I35" i="43"/>
  <c r="D36" i="43"/>
  <c r="F36" i="43"/>
  <c r="H36" i="43"/>
  <c r="I36" i="43"/>
  <c r="D37" i="43"/>
  <c r="F37" i="43"/>
  <c r="H37" i="43"/>
  <c r="I37" i="43"/>
  <c r="D38" i="43"/>
  <c r="F38" i="43"/>
  <c r="H38" i="43"/>
  <c r="I38" i="43"/>
  <c r="D39" i="43"/>
  <c r="F39" i="43"/>
  <c r="H39" i="43"/>
  <c r="I39" i="43"/>
  <c r="D40" i="43"/>
  <c r="F40" i="43"/>
  <c r="H40" i="43"/>
  <c r="I40" i="43"/>
  <c r="D41" i="43"/>
  <c r="F41" i="43"/>
  <c r="H41" i="43"/>
  <c r="I41" i="43"/>
  <c r="D42" i="43"/>
  <c r="F42" i="43"/>
  <c r="H42" i="43"/>
  <c r="I42" i="43"/>
  <c r="D43" i="43"/>
  <c r="F43" i="43"/>
  <c r="H43" i="43"/>
  <c r="I43" i="43"/>
  <c r="D44" i="43"/>
  <c r="F44" i="43"/>
  <c r="H44" i="43"/>
  <c r="I44" i="43"/>
  <c r="D45" i="43"/>
  <c r="F45" i="43"/>
  <c r="H45" i="43"/>
  <c r="I45" i="43"/>
  <c r="D46" i="43"/>
  <c r="F46" i="43"/>
  <c r="H46" i="43"/>
  <c r="I46" i="43"/>
  <c r="I47" i="43"/>
  <c r="F9" i="17"/>
  <c r="I9" i="17"/>
  <c r="J9" i="17"/>
  <c r="F12" i="17"/>
  <c r="I12" i="17"/>
  <c r="J12" i="17"/>
  <c r="K12" i="17"/>
  <c r="G9" i="24"/>
  <c r="I9" i="24"/>
  <c r="J9" i="24"/>
  <c r="F12" i="24"/>
  <c r="I12" i="24"/>
  <c r="J12" i="24"/>
  <c r="K12" i="24"/>
  <c r="B21" i="2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I11" i="19"/>
  <c r="J11" i="19"/>
  <c r="A12" i="19"/>
  <c r="I12" i="19"/>
  <c r="J12" i="19"/>
  <c r="A13" i="19"/>
  <c r="I13" i="19"/>
  <c r="J13" i="19"/>
  <c r="A14" i="19"/>
  <c r="I14" i="19"/>
  <c r="J14" i="19"/>
  <c r="A15" i="19"/>
  <c r="I15" i="19"/>
  <c r="J15" i="19"/>
  <c r="A16" i="19"/>
  <c r="I16" i="19"/>
  <c r="J16" i="19"/>
  <c r="A17" i="19"/>
  <c r="I17" i="19"/>
  <c r="J17" i="19"/>
  <c r="A18" i="19"/>
  <c r="I18" i="19"/>
  <c r="J18" i="19"/>
  <c r="A19" i="19"/>
  <c r="I19" i="19"/>
  <c r="J19" i="19"/>
  <c r="A20" i="19"/>
  <c r="I20" i="19"/>
  <c r="J20" i="19"/>
  <c r="A21" i="19"/>
  <c r="I21" i="19"/>
  <c r="J21" i="19"/>
  <c r="A22" i="19"/>
  <c r="I22" i="19"/>
  <c r="J22" i="19"/>
  <c r="A23" i="19"/>
  <c r="I23" i="19"/>
  <c r="J23" i="19"/>
  <c r="F24" i="19"/>
  <c r="I24" i="19"/>
  <c r="J24" i="19"/>
  <c r="K24" i="19"/>
  <c r="I27" i="19"/>
  <c r="J27" i="19"/>
  <c r="A28" i="19"/>
  <c r="I28" i="19"/>
  <c r="J28" i="19"/>
  <c r="A29" i="19"/>
  <c r="I29" i="19"/>
  <c r="J29" i="19"/>
  <c r="A30" i="19"/>
  <c r="I30" i="19"/>
  <c r="J30" i="19"/>
  <c r="A31" i="19"/>
  <c r="I31" i="19"/>
  <c r="J31" i="19"/>
  <c r="A32" i="19"/>
  <c r="I32" i="19"/>
  <c r="J32" i="19"/>
  <c r="A33" i="19"/>
  <c r="I33" i="19"/>
  <c r="J33" i="19"/>
  <c r="A34" i="19"/>
  <c r="I34" i="19"/>
  <c r="J34" i="19"/>
  <c r="A35" i="19"/>
  <c r="I35" i="19"/>
  <c r="J35" i="19"/>
  <c r="A36" i="19"/>
  <c r="I36" i="19"/>
  <c r="J36" i="19"/>
  <c r="A37" i="19"/>
  <c r="I37" i="19"/>
  <c r="J37" i="19"/>
  <c r="A38" i="19"/>
  <c r="I38" i="19"/>
  <c r="J38" i="19"/>
  <c r="A39" i="19"/>
  <c r="I39" i="19"/>
  <c r="J39" i="19"/>
  <c r="F40" i="19"/>
  <c r="I40" i="19"/>
  <c r="J40" i="19"/>
  <c r="K40" i="19"/>
  <c r="F42" i="19"/>
  <c r="I42" i="19"/>
  <c r="J42" i="19"/>
  <c r="K42" i="19"/>
  <c r="I11" i="20"/>
  <c r="J11" i="20"/>
  <c r="A12" i="20"/>
  <c r="I12" i="20"/>
  <c r="J12" i="20"/>
  <c r="A13" i="20"/>
  <c r="I13" i="20"/>
  <c r="J13" i="20"/>
  <c r="A14" i="20"/>
  <c r="I14" i="20"/>
  <c r="J14" i="20"/>
  <c r="A15" i="20"/>
  <c r="I15" i="20"/>
  <c r="J15" i="20"/>
  <c r="A16" i="20"/>
  <c r="I16" i="20"/>
  <c r="J16" i="20"/>
  <c r="A17" i="20"/>
  <c r="I17" i="20"/>
  <c r="J17" i="20"/>
  <c r="A18" i="20"/>
  <c r="I18" i="20"/>
  <c r="J18" i="20"/>
  <c r="A19" i="20"/>
  <c r="I19" i="20"/>
  <c r="J19" i="20"/>
  <c r="A20" i="20"/>
  <c r="I20" i="20"/>
  <c r="J20" i="20"/>
  <c r="A21" i="20"/>
  <c r="I21" i="20"/>
  <c r="J21" i="20"/>
  <c r="A22" i="20"/>
  <c r="I22" i="20"/>
  <c r="J22" i="20"/>
  <c r="A23" i="20"/>
  <c r="I23" i="20"/>
  <c r="J23" i="20"/>
  <c r="F24" i="20"/>
  <c r="I24" i="20"/>
  <c r="J24" i="20"/>
  <c r="K24" i="20"/>
  <c r="I27" i="20"/>
  <c r="J27" i="20"/>
  <c r="A28" i="20"/>
  <c r="I28" i="20"/>
  <c r="J28" i="20"/>
  <c r="A29" i="20"/>
  <c r="I29" i="20"/>
  <c r="J29" i="20"/>
  <c r="A30" i="20"/>
  <c r="I30" i="20"/>
  <c r="J30" i="20"/>
  <c r="A31" i="20"/>
  <c r="I31" i="20"/>
  <c r="J31" i="20"/>
  <c r="A32" i="20"/>
  <c r="I32" i="20"/>
  <c r="J32" i="20"/>
  <c r="A33" i="20"/>
  <c r="I33" i="20"/>
  <c r="J33" i="20"/>
  <c r="A34" i="20"/>
  <c r="I34" i="20"/>
  <c r="J34" i="20"/>
  <c r="A35" i="20"/>
  <c r="I35" i="20"/>
  <c r="J35" i="20"/>
  <c r="A36" i="20"/>
  <c r="I36" i="20"/>
  <c r="J36" i="20"/>
  <c r="A37" i="20"/>
  <c r="I37" i="20"/>
  <c r="J37" i="20"/>
  <c r="A38" i="20"/>
  <c r="I38" i="20"/>
  <c r="J38" i="20"/>
  <c r="A39" i="20"/>
  <c r="I39" i="20"/>
  <c r="J39" i="20"/>
  <c r="F40" i="20"/>
  <c r="I40" i="20"/>
  <c r="J40" i="20"/>
  <c r="K40" i="20"/>
  <c r="F42" i="20"/>
  <c r="I42" i="20"/>
  <c r="J42" i="20"/>
  <c r="K42" i="20"/>
  <c r="D10" i="28"/>
  <c r="F10" i="28"/>
  <c r="G10" i="28"/>
  <c r="I10" i="28"/>
  <c r="J10" i="28"/>
  <c r="D11" i="28"/>
  <c r="F11" i="28"/>
  <c r="G11" i="28"/>
  <c r="H11" i="28"/>
  <c r="I11" i="28"/>
  <c r="K11" i="28"/>
  <c r="D12" i="28"/>
  <c r="F12" i="28"/>
  <c r="G12" i="28"/>
  <c r="H12" i="28"/>
  <c r="I12" i="28"/>
  <c r="K12" i="28"/>
  <c r="D14" i="28"/>
  <c r="F14" i="28"/>
  <c r="G14" i="28"/>
  <c r="H14" i="28"/>
  <c r="I14" i="28"/>
  <c r="J14" i="28"/>
  <c r="K14" i="28"/>
  <c r="F17" i="28"/>
  <c r="I17" i="28"/>
  <c r="J17" i="28"/>
  <c r="K17" i="28"/>
  <c r="D10" i="29"/>
  <c r="G10" i="29"/>
  <c r="I10" i="29"/>
  <c r="J10" i="29"/>
  <c r="D11" i="29"/>
  <c r="G11" i="29"/>
  <c r="H11" i="29"/>
  <c r="I11" i="29"/>
  <c r="K11" i="29"/>
  <c r="D12" i="29"/>
  <c r="G12" i="29"/>
  <c r="H12" i="29"/>
  <c r="I12" i="29"/>
  <c r="K12" i="29"/>
  <c r="G13" i="29"/>
  <c r="D14" i="29"/>
  <c r="F14" i="29"/>
  <c r="H14" i="29"/>
  <c r="I14" i="29"/>
  <c r="J14" i="29"/>
  <c r="K14" i="29"/>
  <c r="F16" i="29"/>
  <c r="I16" i="29"/>
  <c r="J16" i="29"/>
  <c r="K16" i="29"/>
  <c r="L17" i="29"/>
  <c r="D10" i="30"/>
  <c r="F10" i="30"/>
  <c r="G10" i="30"/>
  <c r="I10" i="30"/>
  <c r="J10" i="30"/>
  <c r="D11" i="30"/>
  <c r="F11" i="30"/>
  <c r="G11" i="30"/>
  <c r="H11" i="30"/>
  <c r="I11" i="30"/>
  <c r="K11" i="30"/>
  <c r="D12" i="30"/>
  <c r="F12" i="30"/>
  <c r="G12" i="30"/>
  <c r="H12" i="30"/>
  <c r="I12" i="30"/>
  <c r="K12" i="30"/>
  <c r="G13" i="30"/>
  <c r="D14" i="30"/>
  <c r="F14" i="30"/>
  <c r="H14" i="30"/>
  <c r="I14" i="30"/>
  <c r="J14" i="30"/>
  <c r="K14" i="30"/>
  <c r="F20" i="30"/>
  <c r="H20" i="30"/>
  <c r="I20" i="30"/>
  <c r="J20" i="30"/>
  <c r="F21" i="30"/>
  <c r="G21" i="30"/>
  <c r="H21" i="30"/>
  <c r="I21" i="30"/>
  <c r="K21" i="30"/>
  <c r="F22" i="30"/>
  <c r="G22" i="30"/>
  <c r="H22" i="30"/>
  <c r="I22" i="30"/>
  <c r="K22" i="30"/>
  <c r="F26" i="30"/>
  <c r="I26" i="30"/>
  <c r="J26" i="30"/>
  <c r="K26" i="30"/>
  <c r="F28" i="30"/>
  <c r="I28" i="30"/>
  <c r="J28" i="30"/>
  <c r="K28" i="30"/>
  <c r="D10" i="31"/>
  <c r="F10" i="31"/>
  <c r="G10" i="31"/>
  <c r="I10" i="31"/>
  <c r="J10" i="31"/>
  <c r="D11" i="31"/>
  <c r="F11" i="31"/>
  <c r="G11" i="31"/>
  <c r="H11" i="31"/>
  <c r="I11" i="31"/>
  <c r="K11" i="31"/>
  <c r="D12" i="31"/>
  <c r="F12" i="31"/>
  <c r="G12" i="31"/>
  <c r="H12" i="31"/>
  <c r="I12" i="31"/>
  <c r="K12" i="31"/>
  <c r="G13" i="31"/>
  <c r="D14" i="31"/>
  <c r="F14" i="31"/>
  <c r="H14" i="31"/>
  <c r="I14" i="31"/>
  <c r="J14" i="31"/>
  <c r="K14" i="31"/>
  <c r="F20" i="31"/>
  <c r="H20" i="31"/>
  <c r="I20" i="31"/>
  <c r="J20" i="31"/>
  <c r="F21" i="31"/>
  <c r="G21" i="31"/>
  <c r="H21" i="31"/>
  <c r="I21" i="31"/>
  <c r="K21" i="31"/>
  <c r="F22" i="31"/>
  <c r="G22" i="31"/>
  <c r="H22" i="31"/>
  <c r="I22" i="31"/>
  <c r="K22" i="31"/>
  <c r="F26" i="31"/>
  <c r="I26" i="31"/>
  <c r="J26" i="31"/>
  <c r="K26" i="31"/>
  <c r="F28" i="31"/>
  <c r="I28" i="31"/>
  <c r="J28" i="31"/>
  <c r="K28" i="31"/>
  <c r="D10" i="44"/>
  <c r="F10" i="44"/>
  <c r="H10" i="44"/>
  <c r="I10" i="44"/>
  <c r="K10" i="44"/>
  <c r="F12" i="44"/>
  <c r="I12" i="44"/>
  <c r="J12" i="44"/>
  <c r="K12" i="44"/>
  <c r="G9" i="23"/>
  <c r="H9" i="23"/>
  <c r="J9" i="23"/>
  <c r="F12" i="23"/>
  <c r="I12" i="23"/>
  <c r="J12" i="23"/>
  <c r="K12" i="23"/>
  <c r="B21" i="23"/>
  <c r="G9" i="18"/>
  <c r="I9" i="18"/>
  <c r="J9" i="18"/>
  <c r="F12" i="18"/>
  <c r="I12" i="18"/>
  <c r="J12" i="18"/>
  <c r="K12" i="18"/>
  <c r="B21" i="18"/>
  <c r="F9" i="12"/>
  <c r="I9" i="12"/>
  <c r="J9" i="12"/>
  <c r="F10" i="12"/>
  <c r="I10" i="12"/>
  <c r="J10" i="12"/>
  <c r="F11" i="12"/>
  <c r="I11" i="12"/>
  <c r="J11" i="12"/>
  <c r="F12" i="12"/>
  <c r="I12" i="12"/>
  <c r="J12" i="12"/>
  <c r="F13" i="12"/>
  <c r="I13" i="12"/>
  <c r="J13" i="12"/>
  <c r="F14" i="12"/>
  <c r="I14" i="12"/>
  <c r="J14" i="12"/>
  <c r="F15" i="12"/>
  <c r="I15" i="12"/>
  <c r="J15" i="12"/>
  <c r="F16" i="12"/>
  <c r="I16" i="12"/>
  <c r="J16" i="12"/>
  <c r="F17" i="12"/>
  <c r="I17" i="12"/>
  <c r="J17" i="12"/>
  <c r="F18" i="12"/>
  <c r="I18" i="12"/>
  <c r="J18" i="12"/>
  <c r="F19" i="12"/>
  <c r="I19" i="12"/>
  <c r="J19" i="12"/>
  <c r="F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I9" i="13"/>
  <c r="J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I26" i="13"/>
  <c r="J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I9" i="14"/>
  <c r="J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I26" i="14"/>
  <c r="J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I9" i="15"/>
  <c r="J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I26" i="15"/>
  <c r="J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F9" i="11"/>
  <c r="I9" i="11"/>
  <c r="J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I26" i="11"/>
  <c r="J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D10" i="37"/>
  <c r="F10" i="37"/>
  <c r="H10" i="37"/>
  <c r="I10" i="37"/>
  <c r="K10" i="37"/>
  <c r="D11" i="37"/>
  <c r="F11" i="37"/>
  <c r="H11" i="37"/>
  <c r="I11" i="37"/>
  <c r="K11" i="37"/>
  <c r="F13" i="37"/>
  <c r="I13" i="37"/>
  <c r="J13" i="37"/>
  <c r="K13" i="37"/>
  <c r="F19" i="37"/>
  <c r="G19" i="37"/>
  <c r="H19" i="37"/>
  <c r="I19" i="37"/>
  <c r="K19" i="37"/>
  <c r="F20" i="37"/>
  <c r="G20" i="37"/>
  <c r="H20" i="37"/>
  <c r="I20" i="37"/>
  <c r="K20" i="37"/>
  <c r="F24" i="37"/>
  <c r="I24" i="37"/>
  <c r="J24" i="37"/>
  <c r="K24" i="37"/>
  <c r="F26" i="37"/>
  <c r="I26" i="37"/>
  <c r="J26" i="37"/>
  <c r="K26" i="37"/>
  <c r="D10" i="38"/>
  <c r="F10" i="38"/>
  <c r="H10" i="38"/>
  <c r="I10" i="38"/>
  <c r="K10" i="38"/>
  <c r="D11" i="38"/>
  <c r="F11" i="38"/>
  <c r="H11" i="38"/>
  <c r="I11" i="38"/>
  <c r="K11" i="38"/>
  <c r="F13" i="38"/>
  <c r="I13" i="38"/>
  <c r="J13" i="38"/>
  <c r="K13" i="38"/>
  <c r="F19" i="38"/>
  <c r="G19" i="38"/>
  <c r="H19" i="38"/>
  <c r="I19" i="38"/>
  <c r="K19" i="38"/>
  <c r="F20" i="38"/>
  <c r="G20" i="38"/>
  <c r="H20" i="38"/>
  <c r="I20" i="38"/>
  <c r="K20" i="38"/>
  <c r="F24" i="38"/>
  <c r="I24" i="38"/>
  <c r="J24" i="38"/>
  <c r="K24" i="38"/>
  <c r="F26" i="38"/>
  <c r="I26" i="38"/>
  <c r="J26" i="38"/>
  <c r="K26" i="38"/>
  <c r="H9" i="32"/>
  <c r="I9" i="32"/>
  <c r="H10" i="32"/>
  <c r="I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G25" i="32"/>
  <c r="H25" i="32"/>
  <c r="I25" i="32"/>
  <c r="J25" i="32"/>
  <c r="G26" i="32"/>
  <c r="H26" i="32"/>
  <c r="I26" i="32"/>
  <c r="J26" i="32"/>
  <c r="G27" i="32"/>
  <c r="H27" i="32"/>
  <c r="I27" i="32"/>
  <c r="J27" i="32"/>
  <c r="G28" i="32"/>
  <c r="H28" i="32"/>
  <c r="I28" i="32"/>
  <c r="J28" i="32"/>
  <c r="G29" i="32"/>
  <c r="H29" i="32"/>
  <c r="I29" i="32"/>
  <c r="J29" i="32"/>
  <c r="G30" i="32"/>
  <c r="H30" i="32"/>
  <c r="I30" i="32"/>
  <c r="J30" i="32"/>
  <c r="G31" i="32"/>
  <c r="H31" i="32"/>
  <c r="I31" i="32"/>
  <c r="J31" i="32"/>
  <c r="G32" i="32"/>
  <c r="H32" i="32"/>
  <c r="I32" i="32"/>
  <c r="J32" i="32"/>
  <c r="D36" i="32"/>
  <c r="F36" i="32"/>
  <c r="G36" i="32"/>
  <c r="H36" i="32"/>
  <c r="I36" i="32"/>
  <c r="J36" i="32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D10" i="33"/>
  <c r="I10" i="33"/>
  <c r="K10" i="33"/>
  <c r="F12" i="33"/>
  <c r="I12" i="33"/>
  <c r="J12" i="33"/>
  <c r="K12" i="33"/>
  <c r="G14" i="33"/>
  <c r="I14" i="33"/>
  <c r="K14" i="33"/>
  <c r="F16" i="33"/>
  <c r="I16" i="33"/>
  <c r="J16" i="33"/>
  <c r="K16" i="33"/>
  <c r="F19" i="33"/>
  <c r="I19" i="33"/>
  <c r="J19" i="33"/>
  <c r="K19" i="33"/>
  <c r="D10" i="40"/>
  <c r="F10" i="40"/>
  <c r="H10" i="40"/>
  <c r="I10" i="40"/>
  <c r="K10" i="40"/>
  <c r="D11" i="40"/>
  <c r="F11" i="40"/>
  <c r="H11" i="40"/>
  <c r="I11" i="40"/>
  <c r="K11" i="40"/>
  <c r="D12" i="40"/>
  <c r="F12" i="40"/>
  <c r="H12" i="40"/>
  <c r="I12" i="40"/>
  <c r="K12" i="40"/>
  <c r="D13" i="40"/>
  <c r="F13" i="40"/>
  <c r="H13" i="40"/>
  <c r="I13" i="40"/>
  <c r="K13" i="40"/>
  <c r="D14" i="40"/>
  <c r="F14" i="40"/>
  <c r="H14" i="40"/>
  <c r="I14" i="40"/>
  <c r="K14" i="40"/>
  <c r="D15" i="40"/>
  <c r="F15" i="40"/>
  <c r="H15" i="40"/>
  <c r="I15" i="40"/>
  <c r="K15" i="40"/>
  <c r="D16" i="40"/>
  <c r="F16" i="40"/>
  <c r="H16" i="40"/>
  <c r="I16" i="40"/>
  <c r="K16" i="40"/>
  <c r="D17" i="40"/>
  <c r="F17" i="40"/>
  <c r="H17" i="40"/>
  <c r="I17" i="40"/>
  <c r="K17" i="40"/>
  <c r="D18" i="40"/>
  <c r="F18" i="40"/>
  <c r="H18" i="40"/>
  <c r="I18" i="40"/>
  <c r="K18" i="40"/>
  <c r="D19" i="40"/>
  <c r="F19" i="40"/>
  <c r="H19" i="40"/>
  <c r="I19" i="40"/>
  <c r="K19" i="40"/>
  <c r="D20" i="40"/>
  <c r="F20" i="40"/>
  <c r="H20" i="40"/>
  <c r="I20" i="40"/>
  <c r="K20" i="40"/>
  <c r="D21" i="40"/>
  <c r="F21" i="40"/>
  <c r="H21" i="40"/>
  <c r="I21" i="40"/>
  <c r="K21" i="40"/>
  <c r="F22" i="40"/>
  <c r="I22" i="40"/>
  <c r="J22" i="40"/>
  <c r="K22" i="40"/>
  <c r="F25" i="40"/>
  <c r="I25" i="40"/>
  <c r="J25" i="40"/>
  <c r="K25" i="40"/>
  <c r="F31" i="40"/>
  <c r="G31" i="40"/>
  <c r="F32" i="40"/>
  <c r="G32" i="40"/>
  <c r="F33" i="40"/>
  <c r="G33" i="40"/>
  <c r="G34" i="40"/>
  <c r="G35" i="40"/>
  <c r="G36" i="40"/>
  <c r="G37" i="40"/>
  <c r="G38" i="40"/>
  <c r="G39" i="40"/>
  <c r="G40" i="40"/>
  <c r="G41" i="40"/>
  <c r="G42" i="40"/>
  <c r="G43" i="40"/>
  <c r="D10" i="39"/>
  <c r="F10" i="39"/>
  <c r="H10" i="39"/>
  <c r="I10" i="39"/>
  <c r="K10" i="39"/>
  <c r="D11" i="39"/>
  <c r="F11" i="39"/>
  <c r="H11" i="39"/>
  <c r="I11" i="39"/>
  <c r="K11" i="39"/>
  <c r="D12" i="39"/>
  <c r="F12" i="39"/>
  <c r="H12" i="39"/>
  <c r="I12" i="39"/>
  <c r="K12" i="39"/>
  <c r="D13" i="39"/>
  <c r="F13" i="39"/>
  <c r="H13" i="39"/>
  <c r="I13" i="39"/>
  <c r="K13" i="39"/>
  <c r="D14" i="39"/>
  <c r="F14" i="39"/>
  <c r="H14" i="39"/>
  <c r="I14" i="39"/>
  <c r="K14" i="39"/>
  <c r="D15" i="39"/>
  <c r="F15" i="39"/>
  <c r="H15" i="39"/>
  <c r="I15" i="39"/>
  <c r="K15" i="39"/>
  <c r="D16" i="39"/>
  <c r="F16" i="39"/>
  <c r="H16" i="39"/>
  <c r="I16" i="39"/>
  <c r="K16" i="39"/>
  <c r="D17" i="39"/>
  <c r="F17" i="39"/>
  <c r="H17" i="39"/>
  <c r="I17" i="39"/>
  <c r="K17" i="39"/>
  <c r="D18" i="39"/>
  <c r="F18" i="39"/>
  <c r="H18" i="39"/>
  <c r="I18" i="39"/>
  <c r="K18" i="39"/>
  <c r="D19" i="39"/>
  <c r="F19" i="39"/>
  <c r="H19" i="39"/>
  <c r="I19" i="39"/>
  <c r="K19" i="39"/>
  <c r="D20" i="39"/>
  <c r="F20" i="39"/>
  <c r="H20" i="39"/>
  <c r="I20" i="39"/>
  <c r="K20" i="39"/>
  <c r="D21" i="39"/>
  <c r="F21" i="39"/>
  <c r="H21" i="39"/>
  <c r="I21" i="39"/>
  <c r="K21" i="39"/>
  <c r="F22" i="39"/>
  <c r="I22" i="39"/>
  <c r="J22" i="39"/>
  <c r="K22" i="39"/>
  <c r="F25" i="39"/>
  <c r="I25" i="39"/>
  <c r="J25" i="39"/>
  <c r="K25" i="39"/>
  <c r="D35" i="39"/>
  <c r="F35" i="39"/>
  <c r="H35" i="39"/>
  <c r="I35" i="39"/>
  <c r="D36" i="39"/>
  <c r="F36" i="39"/>
  <c r="H36" i="39"/>
  <c r="I36" i="39"/>
  <c r="D37" i="39"/>
  <c r="F37" i="39"/>
  <c r="H37" i="39"/>
  <c r="I37" i="39"/>
  <c r="D38" i="39"/>
  <c r="F38" i="39"/>
  <c r="H38" i="39"/>
  <c r="I38" i="39"/>
  <c r="D39" i="39"/>
  <c r="F39" i="39"/>
  <c r="H39" i="39"/>
  <c r="I39" i="39"/>
  <c r="D40" i="39"/>
  <c r="F40" i="39"/>
  <c r="H40" i="39"/>
  <c r="I40" i="39"/>
  <c r="D41" i="39"/>
  <c r="F41" i="39"/>
  <c r="H41" i="39"/>
  <c r="I41" i="39"/>
  <c r="D42" i="39"/>
  <c r="F42" i="39"/>
  <c r="H42" i="39"/>
  <c r="I42" i="39"/>
  <c r="D43" i="39"/>
  <c r="F43" i="39"/>
  <c r="H43" i="39"/>
  <c r="I43" i="39"/>
  <c r="D44" i="39"/>
  <c r="F44" i="39"/>
  <c r="H44" i="39"/>
  <c r="I44" i="39"/>
  <c r="D45" i="39"/>
  <c r="F45" i="39"/>
  <c r="H45" i="39"/>
  <c r="I45" i="39"/>
  <c r="D46" i="39"/>
  <c r="F46" i="39"/>
  <c r="H46" i="39"/>
  <c r="I46" i="39"/>
  <c r="I47" i="39"/>
  <c r="D10" i="46"/>
  <c r="F10" i="46"/>
  <c r="G10" i="46"/>
  <c r="H10" i="46"/>
  <c r="I10" i="46"/>
  <c r="K10" i="46"/>
  <c r="D11" i="46"/>
  <c r="F11" i="46"/>
  <c r="G11" i="46"/>
  <c r="H11" i="46"/>
  <c r="I11" i="46"/>
  <c r="K11" i="46"/>
  <c r="D12" i="46"/>
  <c r="F12" i="46"/>
  <c r="G12" i="46"/>
  <c r="H12" i="46"/>
  <c r="I12" i="46"/>
  <c r="K12" i="46"/>
  <c r="D13" i="46"/>
  <c r="F13" i="46"/>
  <c r="G13" i="46"/>
  <c r="H13" i="46"/>
  <c r="I13" i="46"/>
  <c r="K13" i="46"/>
  <c r="D14" i="46"/>
  <c r="F14" i="46"/>
  <c r="G14" i="46"/>
  <c r="H14" i="46"/>
  <c r="I14" i="46"/>
  <c r="K14" i="46"/>
  <c r="D15" i="46"/>
  <c r="F15" i="46"/>
  <c r="G15" i="46"/>
  <c r="H15" i="46"/>
  <c r="I15" i="46"/>
  <c r="K15" i="46"/>
  <c r="D16" i="46"/>
  <c r="F16" i="46"/>
  <c r="G16" i="46"/>
  <c r="H16" i="46"/>
  <c r="I16" i="46"/>
  <c r="K16" i="46"/>
  <c r="D17" i="46"/>
  <c r="F17" i="46"/>
  <c r="G17" i="46"/>
  <c r="H17" i="46"/>
  <c r="I17" i="46"/>
  <c r="K17" i="46"/>
  <c r="D18" i="46"/>
  <c r="F18" i="46"/>
  <c r="G18" i="46"/>
  <c r="H18" i="46"/>
  <c r="I18" i="46"/>
  <c r="K18" i="46"/>
  <c r="D19" i="46"/>
  <c r="F19" i="46"/>
  <c r="G19" i="46"/>
  <c r="H19" i="46"/>
  <c r="I19" i="46"/>
  <c r="K19" i="46"/>
  <c r="D20" i="46"/>
  <c r="F20" i="46"/>
  <c r="G20" i="46"/>
  <c r="H20" i="46"/>
  <c r="I20" i="46"/>
  <c r="K20" i="46"/>
  <c r="D21" i="46"/>
  <c r="F21" i="46"/>
  <c r="G21" i="46"/>
  <c r="H21" i="46"/>
  <c r="I21" i="46"/>
  <c r="K21" i="46"/>
  <c r="D22" i="46"/>
  <c r="F22" i="46"/>
  <c r="H22" i="46"/>
  <c r="I22" i="46"/>
  <c r="J22" i="46"/>
  <c r="K22" i="46"/>
  <c r="F25" i="46"/>
  <c r="I25" i="46"/>
  <c r="J25" i="46"/>
  <c r="K25" i="46"/>
  <c r="D10" i="45"/>
  <c r="F10" i="45"/>
  <c r="G10" i="45"/>
  <c r="H10" i="45"/>
  <c r="I10" i="45"/>
  <c r="K10" i="45"/>
  <c r="D11" i="45"/>
  <c r="F11" i="45"/>
  <c r="G11" i="45"/>
  <c r="H11" i="45"/>
  <c r="I11" i="45"/>
  <c r="K11" i="45"/>
  <c r="D12" i="45"/>
  <c r="F12" i="45"/>
  <c r="G12" i="45"/>
  <c r="H12" i="45"/>
  <c r="I12" i="45"/>
  <c r="K12" i="45"/>
  <c r="D13" i="45"/>
  <c r="F13" i="45"/>
  <c r="G13" i="45"/>
  <c r="H13" i="45"/>
  <c r="I13" i="45"/>
  <c r="K13" i="45"/>
  <c r="D14" i="45"/>
  <c r="F14" i="45"/>
  <c r="G14" i="45"/>
  <c r="H14" i="45"/>
  <c r="I14" i="45"/>
  <c r="K14" i="45"/>
  <c r="D15" i="45"/>
  <c r="F15" i="45"/>
  <c r="G15" i="45"/>
  <c r="H15" i="45"/>
  <c r="I15" i="45"/>
  <c r="K15" i="45"/>
  <c r="D16" i="45"/>
  <c r="F16" i="45"/>
  <c r="G16" i="45"/>
  <c r="H16" i="45"/>
  <c r="I16" i="45"/>
  <c r="K16" i="45"/>
  <c r="D17" i="45"/>
  <c r="F17" i="45"/>
  <c r="G17" i="45"/>
  <c r="H17" i="45"/>
  <c r="I17" i="45"/>
  <c r="K17" i="45"/>
  <c r="D18" i="45"/>
  <c r="F18" i="45"/>
  <c r="G18" i="45"/>
  <c r="H18" i="45"/>
  <c r="I18" i="45"/>
  <c r="K18" i="45"/>
  <c r="D19" i="45"/>
  <c r="F19" i="45"/>
  <c r="G19" i="45"/>
  <c r="H19" i="45"/>
  <c r="I19" i="45"/>
  <c r="K19" i="45"/>
  <c r="D20" i="45"/>
  <c r="F20" i="45"/>
  <c r="G20" i="45"/>
  <c r="H20" i="45"/>
  <c r="I20" i="45"/>
  <c r="K20" i="45"/>
  <c r="D21" i="45"/>
  <c r="F21" i="45"/>
  <c r="G21" i="45"/>
  <c r="H21" i="45"/>
  <c r="I21" i="45"/>
  <c r="K21" i="45"/>
  <c r="D22" i="45"/>
  <c r="F22" i="45"/>
  <c r="H22" i="45"/>
  <c r="I22" i="45"/>
  <c r="J22" i="45"/>
  <c r="K22" i="45"/>
  <c r="F25" i="45"/>
  <c r="I25" i="45"/>
  <c r="J25" i="45"/>
  <c r="K25" i="45"/>
  <c r="D10" i="49"/>
  <c r="F10" i="49"/>
  <c r="G10" i="49"/>
  <c r="H10" i="49"/>
  <c r="I10" i="49"/>
  <c r="K10" i="49"/>
  <c r="F12" i="49"/>
  <c r="I12" i="49"/>
  <c r="J12" i="49"/>
  <c r="K12" i="49"/>
  <c r="F15" i="49"/>
  <c r="I15" i="49"/>
  <c r="J15" i="49"/>
  <c r="K15" i="49"/>
  <c r="D10" i="50"/>
  <c r="F10" i="50"/>
  <c r="G10" i="50"/>
  <c r="H10" i="50"/>
  <c r="I10" i="50"/>
  <c r="K10" i="50"/>
  <c r="F12" i="50"/>
  <c r="I12" i="50"/>
  <c r="J12" i="50"/>
  <c r="K12" i="50"/>
  <c r="F15" i="50"/>
  <c r="I15" i="50"/>
  <c r="J15" i="50"/>
  <c r="K15" i="50"/>
  <c r="D10" i="51"/>
  <c r="F10" i="51"/>
  <c r="H10" i="51"/>
  <c r="I10" i="51"/>
  <c r="K10" i="51"/>
  <c r="D11" i="51"/>
  <c r="F11" i="51"/>
  <c r="H11" i="51"/>
  <c r="I11" i="51"/>
  <c r="K11" i="51"/>
  <c r="D13" i="51"/>
  <c r="F13" i="51"/>
  <c r="H13" i="51"/>
  <c r="I13" i="51"/>
  <c r="J13" i="51"/>
  <c r="K13" i="51"/>
  <c r="F16" i="51"/>
  <c r="I16" i="51"/>
  <c r="J16" i="51"/>
  <c r="K16" i="51"/>
  <c r="D10" i="52"/>
  <c r="F10" i="52"/>
  <c r="H10" i="52"/>
  <c r="I10" i="52"/>
  <c r="K10" i="52"/>
  <c r="D11" i="52"/>
  <c r="F11" i="52"/>
  <c r="H11" i="52"/>
  <c r="I11" i="52"/>
  <c r="K11" i="52"/>
  <c r="D13" i="52"/>
  <c r="F13" i="52"/>
  <c r="H13" i="52"/>
  <c r="I13" i="52"/>
  <c r="J13" i="52"/>
  <c r="K13" i="52"/>
  <c r="F16" i="52"/>
  <c r="I16" i="52"/>
  <c r="J16" i="52"/>
  <c r="K16" i="52"/>
  <c r="D10" i="47"/>
  <c r="F10" i="47"/>
  <c r="G10" i="47"/>
  <c r="H10" i="47"/>
  <c r="I10" i="47"/>
  <c r="K10" i="47"/>
  <c r="D11" i="47"/>
  <c r="F11" i="47"/>
  <c r="G11" i="47"/>
  <c r="H11" i="47"/>
  <c r="I11" i="47"/>
  <c r="K11" i="47"/>
  <c r="D12" i="47"/>
  <c r="F12" i="47"/>
  <c r="G12" i="47"/>
  <c r="H12" i="47"/>
  <c r="I12" i="47"/>
  <c r="K12" i="47"/>
  <c r="D13" i="47"/>
  <c r="F13" i="47"/>
  <c r="G13" i="47"/>
  <c r="H13" i="47"/>
  <c r="I13" i="47"/>
  <c r="K13" i="47"/>
  <c r="D14" i="47"/>
  <c r="F14" i="47"/>
  <c r="G14" i="47"/>
  <c r="H14" i="47"/>
  <c r="I14" i="47"/>
  <c r="K14" i="47"/>
  <c r="D15" i="47"/>
  <c r="F15" i="47"/>
  <c r="G15" i="47"/>
  <c r="H15" i="47"/>
  <c r="I15" i="47"/>
  <c r="K15" i="47"/>
  <c r="D16" i="47"/>
  <c r="F16" i="47"/>
  <c r="G16" i="47"/>
  <c r="H16" i="47"/>
  <c r="I16" i="47"/>
  <c r="K16" i="47"/>
  <c r="D17" i="47"/>
  <c r="F17" i="47"/>
  <c r="G17" i="47"/>
  <c r="H17" i="47"/>
  <c r="I17" i="47"/>
  <c r="K17" i="47"/>
  <c r="D18" i="47"/>
  <c r="F18" i="47"/>
  <c r="G18" i="47"/>
  <c r="H18" i="47"/>
  <c r="I18" i="47"/>
  <c r="K18" i="47"/>
  <c r="D19" i="47"/>
  <c r="F19" i="47"/>
  <c r="G19" i="47"/>
  <c r="H19" i="47"/>
  <c r="I19" i="47"/>
  <c r="K19" i="47"/>
  <c r="D20" i="47"/>
  <c r="F20" i="47"/>
  <c r="G20" i="47"/>
  <c r="H20" i="47"/>
  <c r="I20" i="47"/>
  <c r="K20" i="47"/>
  <c r="D21" i="47"/>
  <c r="F21" i="47"/>
  <c r="G21" i="47"/>
  <c r="H21" i="47"/>
  <c r="I21" i="47"/>
  <c r="K21" i="47"/>
  <c r="D22" i="47"/>
  <c r="F22" i="47"/>
  <c r="H22" i="47"/>
  <c r="I22" i="47"/>
  <c r="J22" i="47"/>
  <c r="K22" i="47"/>
  <c r="F25" i="47"/>
  <c r="I25" i="47"/>
  <c r="J25" i="47"/>
  <c r="K25" i="47"/>
  <c r="D10" i="48"/>
  <c r="F10" i="48"/>
  <c r="G10" i="48"/>
  <c r="H10" i="48"/>
  <c r="I10" i="48"/>
  <c r="K10" i="48"/>
  <c r="D11" i="48"/>
  <c r="F11" i="48"/>
  <c r="G11" i="48"/>
  <c r="H11" i="48"/>
  <c r="I11" i="48"/>
  <c r="K11" i="48"/>
  <c r="D12" i="48"/>
  <c r="F12" i="48"/>
  <c r="G12" i="48"/>
  <c r="H12" i="48"/>
  <c r="I12" i="48"/>
  <c r="K12" i="48"/>
  <c r="D13" i="48"/>
  <c r="F13" i="48"/>
  <c r="G13" i="48"/>
  <c r="H13" i="48"/>
  <c r="I13" i="48"/>
  <c r="K13" i="48"/>
  <c r="D14" i="48"/>
  <c r="F14" i="48"/>
  <c r="G14" i="48"/>
  <c r="H14" i="48"/>
  <c r="I14" i="48"/>
  <c r="K14" i="48"/>
  <c r="D15" i="48"/>
  <c r="F15" i="48"/>
  <c r="G15" i="48"/>
  <c r="H15" i="48"/>
  <c r="I15" i="48"/>
  <c r="K15" i="48"/>
  <c r="D16" i="48"/>
  <c r="F16" i="48"/>
  <c r="G16" i="48"/>
  <c r="H16" i="48"/>
  <c r="I16" i="48"/>
  <c r="K16" i="48"/>
  <c r="D17" i="48"/>
  <c r="F17" i="48"/>
  <c r="G17" i="48"/>
  <c r="H17" i="48"/>
  <c r="I17" i="48"/>
  <c r="K17" i="48"/>
  <c r="D18" i="48"/>
  <c r="F18" i="48"/>
  <c r="G18" i="48"/>
  <c r="H18" i="48"/>
  <c r="I18" i="48"/>
  <c r="K18" i="48"/>
  <c r="D19" i="48"/>
  <c r="F19" i="48"/>
  <c r="G19" i="48"/>
  <c r="H19" i="48"/>
  <c r="I19" i="48"/>
  <c r="K19" i="48"/>
  <c r="D20" i="48"/>
  <c r="F20" i="48"/>
  <c r="G20" i="48"/>
  <c r="H20" i="48"/>
  <c r="I20" i="48"/>
  <c r="K20" i="48"/>
  <c r="D21" i="48"/>
  <c r="F21" i="48"/>
  <c r="G21" i="48"/>
  <c r="H21" i="48"/>
  <c r="I21" i="48"/>
  <c r="K21" i="48"/>
  <c r="D22" i="48"/>
  <c r="F22" i="48"/>
  <c r="H22" i="48"/>
  <c r="I22" i="48"/>
  <c r="J22" i="48"/>
  <c r="K22" i="48"/>
  <c r="F25" i="48"/>
  <c r="I25" i="48"/>
  <c r="J25" i="48"/>
  <c r="K25" i="48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I18" i="7"/>
  <c r="J18" i="7"/>
  <c r="F19" i="7"/>
  <c r="I19" i="7"/>
  <c r="J19" i="7"/>
  <c r="F20" i="7"/>
  <c r="I20" i="7"/>
  <c r="J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I35" i="7"/>
  <c r="J35" i="7"/>
  <c r="F36" i="7"/>
  <c r="I36" i="7"/>
  <c r="J36" i="7"/>
  <c r="F37" i="7"/>
  <c r="I37" i="7"/>
  <c r="J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I15" i="1"/>
  <c r="J15" i="1"/>
  <c r="K15" i="1"/>
  <c r="L15" i="1"/>
  <c r="M15" i="1"/>
  <c r="N15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I19" i="1"/>
  <c r="J19" i="1"/>
  <c r="K19" i="1"/>
  <c r="L19" i="1"/>
  <c r="M19" i="1"/>
  <c r="N19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I23" i="1"/>
  <c r="J23" i="1"/>
  <c r="K23" i="1"/>
  <c r="L23" i="1"/>
  <c r="M23" i="1"/>
  <c r="N23" i="1"/>
  <c r="G25" i="1"/>
  <c r="H25" i="1"/>
  <c r="I25" i="1"/>
  <c r="J25" i="1"/>
  <c r="K25" i="1"/>
  <c r="L25" i="1"/>
  <c r="M25" i="1"/>
  <c r="N25" i="1"/>
  <c r="G26" i="1"/>
  <c r="H26" i="1"/>
  <c r="I26" i="1"/>
  <c r="J26" i="1"/>
  <c r="K26" i="1"/>
  <c r="L26" i="1"/>
  <c r="M26" i="1"/>
  <c r="N26" i="1"/>
  <c r="I27" i="1"/>
  <c r="J27" i="1"/>
  <c r="K27" i="1"/>
  <c r="L27" i="1"/>
  <c r="M27" i="1"/>
  <c r="N27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I31" i="1"/>
  <c r="J31" i="1"/>
  <c r="K31" i="1"/>
  <c r="L31" i="1"/>
  <c r="M31" i="1"/>
  <c r="N31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I35" i="1"/>
  <c r="J35" i="1"/>
  <c r="K35" i="1"/>
  <c r="L35" i="1"/>
  <c r="M35" i="1"/>
  <c r="N35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I39" i="1"/>
  <c r="J39" i="1"/>
  <c r="K39" i="1"/>
  <c r="L39" i="1"/>
  <c r="M39" i="1"/>
  <c r="N39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I43" i="1"/>
  <c r="J43" i="1"/>
  <c r="K43" i="1"/>
  <c r="L43" i="1"/>
  <c r="M43" i="1"/>
  <c r="N43" i="1"/>
  <c r="H45" i="1"/>
  <c r="I45" i="1"/>
  <c r="J45" i="1"/>
  <c r="K45" i="1"/>
  <c r="L45" i="1"/>
  <c r="M45" i="1"/>
  <c r="N45" i="1"/>
  <c r="P45" i="1"/>
  <c r="H46" i="1"/>
  <c r="I46" i="1"/>
  <c r="J46" i="1"/>
  <c r="K46" i="1"/>
  <c r="L46" i="1"/>
  <c r="M46" i="1"/>
  <c r="N46" i="1"/>
  <c r="I47" i="1"/>
  <c r="J47" i="1"/>
  <c r="K47" i="1"/>
  <c r="L47" i="1"/>
  <c r="M47" i="1"/>
  <c r="N47" i="1"/>
  <c r="H49" i="1"/>
  <c r="J49" i="1"/>
  <c r="K49" i="1"/>
  <c r="L49" i="1"/>
  <c r="M49" i="1"/>
  <c r="N49" i="1"/>
  <c r="P49" i="1"/>
  <c r="H50" i="1"/>
  <c r="I50" i="1"/>
  <c r="J50" i="1"/>
  <c r="K50" i="1"/>
  <c r="L50" i="1"/>
  <c r="M50" i="1"/>
  <c r="N50" i="1"/>
  <c r="I51" i="1"/>
  <c r="J51" i="1"/>
  <c r="K51" i="1"/>
  <c r="L51" i="1"/>
  <c r="M51" i="1"/>
  <c r="N51" i="1"/>
  <c r="H53" i="1"/>
  <c r="J53" i="1"/>
  <c r="K53" i="1"/>
  <c r="L53" i="1"/>
  <c r="M53" i="1"/>
  <c r="N53" i="1"/>
  <c r="P53" i="1"/>
  <c r="H54" i="1"/>
  <c r="I54" i="1"/>
  <c r="J54" i="1"/>
  <c r="K54" i="1"/>
  <c r="L54" i="1"/>
  <c r="M54" i="1"/>
  <c r="N54" i="1"/>
  <c r="I55" i="1"/>
  <c r="J55" i="1"/>
  <c r="K55" i="1"/>
  <c r="L55" i="1"/>
  <c r="M55" i="1"/>
  <c r="N55" i="1"/>
  <c r="H57" i="1"/>
  <c r="J57" i="1"/>
  <c r="K57" i="1"/>
  <c r="L57" i="1"/>
  <c r="M57" i="1"/>
  <c r="N57" i="1"/>
  <c r="P57" i="1"/>
  <c r="H58" i="1"/>
  <c r="I58" i="1"/>
  <c r="J58" i="1"/>
  <c r="K58" i="1"/>
  <c r="L58" i="1"/>
  <c r="M58" i="1"/>
  <c r="N58" i="1"/>
  <c r="I59" i="1"/>
  <c r="J59" i="1"/>
  <c r="K59" i="1"/>
  <c r="L59" i="1"/>
  <c r="M59" i="1"/>
  <c r="N59" i="1"/>
  <c r="G61" i="1"/>
  <c r="H61" i="1"/>
  <c r="I61" i="1"/>
  <c r="K61" i="1"/>
  <c r="L61" i="1"/>
  <c r="M61" i="1"/>
  <c r="N61" i="1"/>
  <c r="O61" i="1"/>
  <c r="G62" i="1"/>
  <c r="H62" i="1"/>
  <c r="I62" i="1"/>
  <c r="K62" i="1"/>
  <c r="L62" i="1"/>
  <c r="M62" i="1"/>
  <c r="N62" i="1"/>
  <c r="O62" i="1"/>
  <c r="G63" i="1"/>
  <c r="H63" i="1"/>
  <c r="I63" i="1"/>
  <c r="K63" i="1"/>
  <c r="L63" i="1"/>
  <c r="M63" i="1"/>
  <c r="N63" i="1"/>
  <c r="I64" i="1"/>
  <c r="J64" i="1"/>
  <c r="K64" i="1"/>
  <c r="L64" i="1"/>
  <c r="M64" i="1"/>
  <c r="N64" i="1"/>
  <c r="G67" i="1"/>
  <c r="H67" i="1"/>
  <c r="I67" i="1"/>
  <c r="K67" i="1"/>
  <c r="L67" i="1"/>
  <c r="M67" i="1"/>
  <c r="N67" i="1"/>
  <c r="O67" i="1"/>
  <c r="G68" i="1"/>
  <c r="H68" i="1"/>
  <c r="I68" i="1"/>
  <c r="K68" i="1"/>
  <c r="L68" i="1"/>
  <c r="M68" i="1"/>
  <c r="N68" i="1"/>
  <c r="O68" i="1"/>
  <c r="G69" i="1"/>
  <c r="H69" i="1"/>
  <c r="I69" i="1"/>
  <c r="K69" i="1"/>
  <c r="L69" i="1"/>
  <c r="N69" i="1"/>
  <c r="I70" i="1"/>
  <c r="J70" i="1"/>
  <c r="K70" i="1"/>
  <c r="L70" i="1"/>
  <c r="M70" i="1"/>
  <c r="N70" i="1"/>
  <c r="G72" i="1"/>
  <c r="H72" i="1"/>
  <c r="I72" i="1"/>
  <c r="J72" i="1"/>
  <c r="K72" i="1"/>
  <c r="L72" i="1"/>
  <c r="M72" i="1"/>
  <c r="N72" i="1"/>
  <c r="P72" i="1"/>
  <c r="G73" i="1"/>
  <c r="H73" i="1"/>
  <c r="I73" i="1"/>
  <c r="J73" i="1"/>
  <c r="K73" i="1"/>
  <c r="L73" i="1"/>
  <c r="M73" i="1"/>
  <c r="N73" i="1"/>
  <c r="P73" i="1"/>
  <c r="L74" i="1"/>
  <c r="M74" i="1"/>
  <c r="N74" i="1"/>
  <c r="L75" i="1"/>
  <c r="M75" i="1"/>
  <c r="N75" i="1"/>
  <c r="G78" i="1"/>
  <c r="H78" i="1"/>
  <c r="I78" i="1"/>
  <c r="J78" i="1"/>
  <c r="K78" i="1"/>
  <c r="L78" i="1"/>
  <c r="M78" i="1"/>
  <c r="N78" i="1"/>
  <c r="P78" i="1"/>
  <c r="G79" i="1"/>
  <c r="H79" i="1"/>
  <c r="I79" i="1"/>
  <c r="J79" i="1"/>
  <c r="K79" i="1"/>
  <c r="L79" i="1"/>
  <c r="M79" i="1"/>
  <c r="N79" i="1"/>
  <c r="P79" i="1"/>
  <c r="L80" i="1"/>
  <c r="N80" i="1"/>
  <c r="L81" i="1"/>
  <c r="M81" i="1"/>
  <c r="N81" i="1"/>
  <c r="G83" i="1"/>
  <c r="H83" i="1"/>
  <c r="I83" i="1"/>
  <c r="J83" i="1"/>
  <c r="K83" i="1"/>
  <c r="L83" i="1"/>
  <c r="M83" i="1"/>
  <c r="N83" i="1"/>
  <c r="P83" i="1"/>
  <c r="G84" i="1"/>
  <c r="H84" i="1"/>
  <c r="I84" i="1"/>
  <c r="J84" i="1"/>
  <c r="K84" i="1"/>
  <c r="L84" i="1"/>
  <c r="M84" i="1"/>
  <c r="N84" i="1"/>
  <c r="P84" i="1"/>
  <c r="L85" i="1"/>
  <c r="M85" i="1"/>
  <c r="N85" i="1"/>
  <c r="L86" i="1"/>
  <c r="M86" i="1"/>
  <c r="N86" i="1"/>
  <c r="G88" i="1"/>
  <c r="H88" i="1"/>
  <c r="I88" i="1"/>
  <c r="J88" i="1"/>
  <c r="K88" i="1"/>
  <c r="L88" i="1"/>
  <c r="M88" i="1"/>
  <c r="N88" i="1"/>
  <c r="P88" i="1"/>
  <c r="G89" i="1"/>
  <c r="H89" i="1"/>
  <c r="I89" i="1"/>
  <c r="J89" i="1"/>
  <c r="K89" i="1"/>
  <c r="L89" i="1"/>
  <c r="M89" i="1"/>
  <c r="N89" i="1"/>
  <c r="P89" i="1"/>
  <c r="L90" i="1"/>
  <c r="M90" i="1"/>
  <c r="N90" i="1"/>
  <c r="J91" i="1"/>
  <c r="K91" i="1"/>
  <c r="L91" i="1"/>
  <c r="M91" i="1"/>
  <c r="N91" i="1"/>
  <c r="G93" i="1"/>
  <c r="H93" i="1"/>
  <c r="I93" i="1"/>
  <c r="J93" i="1"/>
  <c r="K93" i="1"/>
  <c r="L93" i="1"/>
  <c r="M93" i="1"/>
  <c r="N93" i="1"/>
  <c r="P93" i="1"/>
  <c r="G94" i="1"/>
  <c r="H94" i="1"/>
  <c r="I94" i="1"/>
  <c r="J94" i="1"/>
  <c r="K94" i="1"/>
  <c r="L94" i="1"/>
  <c r="M94" i="1"/>
  <c r="N94" i="1"/>
  <c r="P94" i="1"/>
  <c r="L95" i="1"/>
  <c r="M95" i="1"/>
  <c r="N95" i="1"/>
  <c r="L96" i="1"/>
  <c r="M96" i="1"/>
  <c r="N96" i="1"/>
  <c r="G98" i="1"/>
  <c r="H98" i="1"/>
  <c r="I98" i="1"/>
  <c r="J98" i="1"/>
  <c r="K98" i="1"/>
  <c r="L98" i="1"/>
  <c r="M98" i="1"/>
  <c r="N98" i="1"/>
  <c r="O98" i="1"/>
  <c r="G99" i="1"/>
  <c r="H99" i="1"/>
  <c r="I99" i="1"/>
  <c r="K99" i="1"/>
  <c r="L99" i="1"/>
  <c r="M99" i="1"/>
  <c r="N99" i="1"/>
  <c r="O99" i="1"/>
  <c r="L100" i="1"/>
  <c r="M100" i="1"/>
  <c r="N100" i="1"/>
  <c r="L101" i="1"/>
  <c r="M101" i="1"/>
  <c r="N101" i="1"/>
  <c r="J103" i="1"/>
  <c r="K103" i="1"/>
  <c r="L103" i="1"/>
  <c r="M103" i="1"/>
  <c r="N103" i="1"/>
  <c r="O103" i="1"/>
  <c r="P103" i="1"/>
  <c r="P105" i="1"/>
  <c r="J118" i="1"/>
  <c r="L118" i="1"/>
  <c r="N118" i="1"/>
  <c r="H119" i="1"/>
  <c r="I119" i="1"/>
  <c r="K119" i="1"/>
  <c r="L119" i="1"/>
  <c r="N119" i="1"/>
  <c r="O119" i="1"/>
  <c r="H120" i="1"/>
  <c r="I120" i="1"/>
  <c r="K120" i="1"/>
  <c r="L120" i="1"/>
  <c r="N120" i="1"/>
  <c r="O120" i="1"/>
  <c r="J121" i="1"/>
  <c r="K121" i="1"/>
  <c r="L121" i="1"/>
  <c r="N121" i="1"/>
  <c r="J123" i="1"/>
  <c r="K123" i="1"/>
  <c r="L123" i="1"/>
  <c r="M123" i="1"/>
  <c r="N123" i="1"/>
  <c r="O123" i="1"/>
  <c r="G124" i="1"/>
  <c r="H124" i="1"/>
  <c r="I124" i="1"/>
  <c r="J124" i="1"/>
  <c r="K124" i="1"/>
  <c r="L124" i="1"/>
  <c r="M124" i="1"/>
  <c r="N124" i="1"/>
  <c r="O124" i="1"/>
  <c r="G125" i="1"/>
  <c r="H125" i="1"/>
  <c r="I125" i="1"/>
  <c r="J125" i="1"/>
  <c r="K125" i="1"/>
  <c r="L125" i="1"/>
  <c r="M125" i="1"/>
  <c r="N125" i="1"/>
  <c r="O125" i="1"/>
  <c r="G126" i="1"/>
  <c r="H126" i="1"/>
  <c r="I126" i="1"/>
  <c r="J126" i="1"/>
  <c r="K126" i="1"/>
  <c r="L126" i="1"/>
  <c r="M126" i="1"/>
  <c r="N126" i="1"/>
  <c r="L128" i="1"/>
  <c r="M128" i="1"/>
  <c r="N128" i="1"/>
  <c r="O128" i="1"/>
  <c r="G130" i="1"/>
  <c r="H130" i="1"/>
  <c r="I130" i="1"/>
  <c r="K130" i="1"/>
  <c r="L130" i="1"/>
  <c r="M130" i="1"/>
  <c r="N130" i="1"/>
  <c r="O130" i="1"/>
  <c r="G131" i="1"/>
  <c r="H131" i="1"/>
  <c r="I131" i="1"/>
  <c r="K131" i="1"/>
  <c r="L131" i="1"/>
  <c r="M131" i="1"/>
  <c r="N131" i="1"/>
  <c r="O131" i="1"/>
  <c r="G132" i="1"/>
  <c r="H132" i="1"/>
  <c r="I132" i="1"/>
  <c r="J132" i="1"/>
  <c r="K132" i="1"/>
  <c r="L132" i="1"/>
  <c r="M132" i="1"/>
  <c r="N132" i="1"/>
  <c r="G134" i="1"/>
  <c r="H134" i="1"/>
  <c r="I134" i="1"/>
  <c r="J134" i="1"/>
  <c r="K134" i="1"/>
  <c r="L134" i="1"/>
  <c r="M134" i="1"/>
  <c r="N134" i="1"/>
  <c r="P134" i="1"/>
  <c r="G135" i="1"/>
  <c r="H135" i="1"/>
  <c r="I135" i="1"/>
  <c r="J135" i="1"/>
  <c r="K135" i="1"/>
  <c r="L135" i="1"/>
  <c r="M135" i="1"/>
  <c r="N135" i="1"/>
  <c r="P135" i="1"/>
  <c r="G136" i="1"/>
  <c r="H136" i="1"/>
  <c r="I136" i="1"/>
  <c r="J136" i="1"/>
  <c r="K136" i="1"/>
  <c r="L136" i="1"/>
  <c r="M136" i="1"/>
  <c r="N136" i="1"/>
  <c r="J138" i="1"/>
  <c r="K138" i="1"/>
  <c r="L138" i="1"/>
  <c r="M138" i="1"/>
  <c r="N138" i="1"/>
  <c r="O138" i="1"/>
  <c r="P138" i="1"/>
  <c r="O144" i="1"/>
  <c r="O145" i="1"/>
  <c r="P145" i="1"/>
  <c r="P147" i="1"/>
  <c r="P148" i="1"/>
  <c r="P149" i="1"/>
  <c r="F10" i="35"/>
  <c r="I10" i="35"/>
  <c r="K10" i="35"/>
  <c r="F11" i="35"/>
  <c r="I11" i="35"/>
  <c r="K11" i="35"/>
  <c r="F12" i="35"/>
  <c r="I12" i="35"/>
  <c r="K12" i="35"/>
  <c r="F13" i="35"/>
  <c r="I13" i="35"/>
  <c r="K13" i="35"/>
  <c r="F14" i="35"/>
  <c r="I14" i="35"/>
  <c r="K14" i="35"/>
  <c r="F15" i="35"/>
  <c r="I15" i="35"/>
  <c r="K15" i="35"/>
  <c r="F16" i="35"/>
  <c r="I16" i="35"/>
  <c r="K16" i="35"/>
  <c r="F17" i="35"/>
  <c r="I17" i="35"/>
  <c r="K17" i="35"/>
  <c r="F18" i="35"/>
  <c r="I18" i="35"/>
  <c r="K18" i="35"/>
  <c r="F19" i="35"/>
  <c r="I19" i="35"/>
  <c r="K19" i="35"/>
  <c r="F20" i="35"/>
  <c r="I20" i="35"/>
  <c r="K20" i="35"/>
  <c r="F21" i="35"/>
  <c r="I21" i="35"/>
  <c r="J21" i="35"/>
  <c r="K21" i="35"/>
  <c r="F24" i="35"/>
  <c r="G24" i="35"/>
  <c r="I24" i="35"/>
  <c r="K24" i="35"/>
  <c r="F25" i="35"/>
  <c r="G25" i="35"/>
  <c r="I25" i="35"/>
  <c r="K25" i="35"/>
  <c r="F26" i="35"/>
  <c r="G26" i="35"/>
  <c r="I26" i="35"/>
  <c r="K26" i="35"/>
  <c r="F27" i="35"/>
  <c r="G27" i="35"/>
  <c r="I27" i="35"/>
  <c r="K27" i="35"/>
  <c r="F28" i="35"/>
  <c r="G28" i="35"/>
  <c r="I28" i="35"/>
  <c r="K28" i="35"/>
  <c r="F29" i="35"/>
  <c r="G29" i="35"/>
  <c r="I29" i="35"/>
  <c r="K29" i="35"/>
  <c r="F30" i="35"/>
  <c r="G30" i="35"/>
  <c r="I30" i="35"/>
  <c r="K30" i="35"/>
  <c r="F31" i="35"/>
  <c r="G31" i="35"/>
  <c r="I31" i="35"/>
  <c r="K31" i="35"/>
  <c r="F32" i="35"/>
  <c r="G32" i="35"/>
  <c r="I32" i="35"/>
  <c r="K32" i="35"/>
  <c r="F33" i="35"/>
  <c r="G33" i="35"/>
  <c r="I33" i="35"/>
  <c r="K33" i="35"/>
  <c r="F34" i="35"/>
  <c r="G34" i="35"/>
  <c r="I34" i="35"/>
  <c r="K34" i="35"/>
  <c r="F35" i="35"/>
  <c r="I35" i="35"/>
  <c r="J35" i="35"/>
  <c r="K35" i="35"/>
  <c r="G36" i="35"/>
  <c r="F37" i="35"/>
  <c r="I37" i="35"/>
  <c r="J37" i="35"/>
  <c r="K37" i="35"/>
  <c r="F10" i="36"/>
  <c r="I10" i="36"/>
  <c r="K10" i="36"/>
  <c r="F11" i="36"/>
  <c r="I11" i="36"/>
  <c r="K11" i="36"/>
  <c r="F12" i="36"/>
  <c r="I12" i="36"/>
  <c r="K12" i="36"/>
  <c r="F13" i="36"/>
  <c r="I13" i="36"/>
  <c r="K13" i="36"/>
  <c r="F14" i="36"/>
  <c r="I14" i="36"/>
  <c r="K14" i="36"/>
  <c r="F15" i="36"/>
  <c r="I15" i="36"/>
  <c r="K15" i="36"/>
  <c r="F16" i="36"/>
  <c r="I16" i="36"/>
  <c r="K16" i="36"/>
  <c r="F17" i="36"/>
  <c r="I17" i="36"/>
  <c r="K17" i="36"/>
  <c r="F18" i="36"/>
  <c r="I18" i="36"/>
  <c r="K18" i="36"/>
  <c r="F19" i="36"/>
  <c r="I19" i="36"/>
  <c r="K19" i="36"/>
  <c r="F20" i="36"/>
  <c r="I20" i="36"/>
  <c r="K20" i="36"/>
  <c r="F21" i="36"/>
  <c r="I21" i="36"/>
  <c r="J21" i="36"/>
  <c r="K21" i="36"/>
  <c r="F24" i="36"/>
  <c r="G24" i="36"/>
  <c r="I24" i="36"/>
  <c r="K24" i="36"/>
  <c r="F25" i="36"/>
  <c r="G25" i="36"/>
  <c r="I25" i="36"/>
  <c r="K25" i="36"/>
  <c r="F26" i="36"/>
  <c r="G26" i="36"/>
  <c r="I26" i="36"/>
  <c r="K26" i="36"/>
  <c r="F27" i="36"/>
  <c r="G27" i="36"/>
  <c r="I27" i="36"/>
  <c r="K27" i="36"/>
  <c r="F28" i="36"/>
  <c r="G28" i="36"/>
  <c r="I28" i="36"/>
  <c r="K28" i="36"/>
  <c r="F29" i="36"/>
  <c r="G29" i="36"/>
  <c r="I29" i="36"/>
  <c r="K29" i="36"/>
  <c r="F30" i="36"/>
  <c r="G30" i="36"/>
  <c r="I30" i="36"/>
  <c r="K30" i="36"/>
  <c r="F31" i="36"/>
  <c r="G31" i="36"/>
  <c r="I31" i="36"/>
  <c r="K31" i="36"/>
  <c r="F32" i="36"/>
  <c r="G32" i="36"/>
  <c r="I32" i="36"/>
  <c r="K32" i="36"/>
  <c r="F33" i="36"/>
  <c r="G33" i="36"/>
  <c r="I33" i="36"/>
  <c r="K33" i="36"/>
  <c r="F34" i="36"/>
  <c r="G34" i="36"/>
  <c r="I34" i="36"/>
  <c r="K34" i="36"/>
  <c r="F35" i="36"/>
  <c r="I35" i="36"/>
  <c r="J35" i="36"/>
  <c r="K35" i="36"/>
  <c r="F38" i="36"/>
  <c r="I38" i="36"/>
  <c r="J38" i="36"/>
  <c r="K38" i="36"/>
  <c r="D10" i="26"/>
  <c r="F10" i="26"/>
  <c r="G10" i="26"/>
  <c r="I10" i="26"/>
  <c r="J10" i="26"/>
  <c r="D11" i="26"/>
  <c r="F11" i="26"/>
  <c r="G11" i="26"/>
  <c r="H11" i="26"/>
  <c r="I11" i="26"/>
  <c r="K11" i="26"/>
  <c r="D12" i="26"/>
  <c r="F12" i="26"/>
  <c r="G12" i="26"/>
  <c r="H12" i="26"/>
  <c r="I12" i="26"/>
  <c r="K12" i="26"/>
  <c r="D14" i="26"/>
  <c r="F14" i="26"/>
  <c r="H14" i="26"/>
  <c r="I14" i="26"/>
  <c r="J14" i="26"/>
  <c r="K14" i="26"/>
  <c r="F20" i="26"/>
  <c r="H20" i="26"/>
  <c r="I20" i="26"/>
  <c r="J20" i="26"/>
  <c r="F21" i="26"/>
  <c r="G21" i="26"/>
  <c r="H21" i="26"/>
  <c r="I21" i="26"/>
  <c r="K21" i="26"/>
  <c r="F22" i="26"/>
  <c r="G22" i="26"/>
  <c r="H22" i="26"/>
  <c r="I22" i="26"/>
  <c r="K22" i="26"/>
  <c r="F26" i="26"/>
  <c r="I26" i="26"/>
  <c r="J26" i="26"/>
  <c r="K26" i="26"/>
  <c r="F28" i="26"/>
  <c r="I28" i="26"/>
  <c r="J28" i="26"/>
  <c r="K28" i="26"/>
  <c r="D10" i="27"/>
  <c r="F10" i="27"/>
  <c r="I10" i="27"/>
  <c r="J10" i="27"/>
  <c r="D11" i="27"/>
  <c r="F11" i="27"/>
  <c r="H11" i="27"/>
  <c r="I11" i="27"/>
  <c r="K11" i="27"/>
  <c r="D12" i="27"/>
  <c r="F12" i="27"/>
  <c r="H12" i="27"/>
  <c r="I12" i="27"/>
  <c r="K12" i="27"/>
  <c r="D14" i="27"/>
  <c r="F14" i="27"/>
  <c r="H14" i="27"/>
  <c r="I14" i="27"/>
  <c r="J14" i="27"/>
  <c r="K14" i="27"/>
  <c r="F17" i="27"/>
  <c r="I17" i="27"/>
  <c r="J17" i="27"/>
  <c r="K17" i="27"/>
</calcChain>
</file>

<file path=xl/sharedStrings.xml><?xml version="1.0" encoding="utf-8"?>
<sst xmlns="http://schemas.openxmlformats.org/spreadsheetml/2006/main" count="2182" uniqueCount="288">
  <si>
    <t>FUEL HEDGING BOOK</t>
  </si>
  <si>
    <t>SUMMARY</t>
  </si>
  <si>
    <t>Company</t>
  </si>
  <si>
    <t>Contract</t>
  </si>
  <si>
    <t>Hedge</t>
  </si>
  <si>
    <t>Avg.</t>
  </si>
  <si>
    <t>Spread</t>
  </si>
  <si>
    <t>Fuel</t>
  </si>
  <si>
    <t>Name</t>
  </si>
  <si>
    <t>Number</t>
  </si>
  <si>
    <t>Type</t>
  </si>
  <si>
    <t>Term</t>
  </si>
  <si>
    <t>Price</t>
  </si>
  <si>
    <t>Actual/</t>
  </si>
  <si>
    <t>Volume</t>
  </si>
  <si>
    <t>Dth/d</t>
  </si>
  <si>
    <t>Gains and (Losses)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</si>
  <si>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</si>
  <si>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</si>
  <si>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</si>
  <si>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</si>
  <si>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</si>
  <si>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</si>
  <si>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</si>
  <si>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</si>
  <si>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</si>
  <si>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</si>
  <si>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</si>
  <si>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</si>
  <si>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</si>
  <si>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Sempra</t>
  </si>
  <si>
    <t>RMTC</t>
  </si>
  <si>
    <t>NNG</t>
  </si>
  <si>
    <t>El Paso</t>
  </si>
  <si>
    <t>Short(-)</t>
  </si>
  <si>
    <t>Long(+)</t>
  </si>
  <si>
    <t>Over-retention</t>
  </si>
  <si>
    <t>(4)Gain and Losses are a measurement of the effectiveness of meeting the stated hedge objective.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</si>
  <si>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</si>
  <si>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</si>
  <si>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</si>
  <si>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</si>
  <si>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</si>
  <si>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</si>
  <si>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</si>
  <si>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</si>
  <si>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</si>
  <si>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</si>
  <si>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</si>
  <si>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</si>
  <si>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</si>
  <si>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</si>
  <si>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</si>
  <si>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</si>
  <si>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</si>
  <si>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</si>
  <si>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</si>
  <si>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</si>
  <si>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</si>
  <si>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</si>
  <si>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</si>
  <si>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</si>
  <si>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</si>
  <si>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</si>
  <si>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</si>
  <si>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</si>
  <si>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</si>
  <si>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</si>
  <si>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</si>
  <si>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</si>
  <si>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</si>
  <si>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</si>
  <si>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</si>
  <si>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</si>
  <si>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</si>
  <si>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</si>
  <si>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</si>
  <si>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</si>
  <si>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</si>
  <si>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</si>
  <si>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</si>
  <si>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</si>
  <si>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</si>
  <si>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</si>
  <si>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</si>
  <si>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</si>
  <si>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</si>
  <si>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</si>
  <si>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</si>
  <si>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>Enron North America_11</t>
  </si>
  <si>
    <t>Financial</t>
  </si>
  <si>
    <t>Physical</t>
  </si>
  <si>
    <t>See Note 1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</si>
  <si>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</si>
  <si>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</si>
  <si>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</si>
  <si>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</si>
  <si>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</si>
  <si>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</si>
  <si>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</si>
  <si>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</si>
  <si>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</si>
  <si>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NORTHERN NATUAL GAS COMPANY</t>
  </si>
  <si>
    <t>El Paso Call Option</t>
  </si>
  <si>
    <t>ENA-Call Option</t>
  </si>
  <si>
    <t>El Paso Merchant Energy_18</t>
  </si>
  <si>
    <t>Enron North America_19</t>
  </si>
  <si>
    <t>OTHER TRADE</t>
  </si>
  <si>
    <t>Enron North America_20</t>
  </si>
  <si>
    <t>Strike</t>
  </si>
  <si>
    <t>Floating</t>
  </si>
  <si>
    <t>Deal #QA4309.1</t>
  </si>
  <si>
    <t>Enron North America</t>
  </si>
  <si>
    <t>NNG(Demarc)</t>
  </si>
  <si>
    <t>GD-Others-Midpoint</t>
  </si>
  <si>
    <t>Notional</t>
  </si>
  <si>
    <t>Quantity</t>
  </si>
  <si>
    <t>Deal #QA5217.1</t>
  </si>
  <si>
    <t>GD-Lou. Onshor S.-Midpoint</t>
  </si>
  <si>
    <t>Henry Hub</t>
  </si>
  <si>
    <t>EL Paso Prmn</t>
  </si>
  <si>
    <t>Deal #Qo6763.1</t>
  </si>
  <si>
    <t>NNG DOES NOT MAKE PAYMENT TO ENA BECAUSE THE FLOATING PRICE IS LESS THAN THE STRIKE PRICE.</t>
  </si>
  <si>
    <t>Floating Price</t>
  </si>
  <si>
    <t>Deal #QO886.1</t>
  </si>
  <si>
    <t>El Paso Merchant Energy</t>
  </si>
  <si>
    <t>Deal #1009351</t>
  </si>
  <si>
    <t>Call Option</t>
  </si>
  <si>
    <t>EL PASO DOES NOT MAKE PAYMENT TO NNG  BECAUSE THE FLOATING PRICE IS LESS THAN THE STRIKE PRICE.</t>
  </si>
  <si>
    <t>Futures_113000</t>
  </si>
  <si>
    <t>11/00-10/02</t>
  </si>
  <si>
    <t>Risk Book</t>
  </si>
  <si>
    <t>Trading BOOK</t>
  </si>
  <si>
    <t>Receiving</t>
  </si>
  <si>
    <t>Paying</t>
  </si>
  <si>
    <t>Mark to Mrkt</t>
  </si>
  <si>
    <t>Expired</t>
  </si>
  <si>
    <t xml:space="preserve">NNG </t>
  </si>
  <si>
    <t>Fixed Price</t>
  </si>
  <si>
    <t>NYMEX H.H. +</t>
  </si>
  <si>
    <t xml:space="preserve">TC </t>
  </si>
  <si>
    <t>Float Price</t>
  </si>
  <si>
    <t>I.F. PEPL</t>
  </si>
  <si>
    <t>TX, OK(Mainline)</t>
  </si>
  <si>
    <t>Oneok</t>
  </si>
  <si>
    <t>TransCanads Deal #HJN1002</t>
  </si>
  <si>
    <t>Phyiscal Price</t>
  </si>
  <si>
    <t>I.F. Demarc less I.F. PEPL TX, OK</t>
  </si>
  <si>
    <t>Demarc</t>
  </si>
  <si>
    <t>I.F. PEPL Tx, OK</t>
  </si>
  <si>
    <t>Enron North America #QH8057.1</t>
  </si>
  <si>
    <t>I.F. Demarc</t>
  </si>
  <si>
    <t>Enron North America #QF8229.1</t>
  </si>
  <si>
    <t>Enron North America #QF1003.1</t>
  </si>
  <si>
    <t>Variance</t>
  </si>
  <si>
    <t>Enron North America #QF0992.1</t>
  </si>
  <si>
    <t>NI8156.1</t>
  </si>
  <si>
    <t>NK4742.1</t>
  </si>
  <si>
    <t>FX Swap M337849</t>
  </si>
  <si>
    <t>FX Swap</t>
  </si>
  <si>
    <t>RTMC</t>
  </si>
  <si>
    <t>$USD</t>
  </si>
  <si>
    <t>$CAD</t>
  </si>
  <si>
    <t>12/26/00-11/25/02</t>
  </si>
  <si>
    <t>M337849</t>
  </si>
  <si>
    <t>Note 1:  Hedges are perfectly correlated.</t>
  </si>
  <si>
    <t>TX, OK(mainline)</t>
  </si>
  <si>
    <t>DEMARC</t>
  </si>
  <si>
    <t>Oneok?</t>
  </si>
  <si>
    <t>less applicable fuel(.228)</t>
  </si>
  <si>
    <t>Commodity Swap</t>
  </si>
  <si>
    <t>Risk Management &amp; Trading Corp.</t>
  </si>
  <si>
    <t>Deal #QK7503.1</t>
  </si>
  <si>
    <t>FIXED</t>
  </si>
  <si>
    <t>NYMEX</t>
  </si>
  <si>
    <t>NYMEX H.H.</t>
  </si>
  <si>
    <t>Qty.</t>
  </si>
  <si>
    <t xml:space="preserve">Float </t>
  </si>
  <si>
    <t>Reliant Energy Services, Inc.</t>
  </si>
  <si>
    <t>Deal #12007624</t>
  </si>
  <si>
    <t>Reliant</t>
  </si>
  <si>
    <t>QK7503.1</t>
  </si>
  <si>
    <t>04/01/02-04/30/02</t>
  </si>
  <si>
    <t>Reliant Energy</t>
  </si>
  <si>
    <t>TransCanada Energy Financial Products Limited</t>
  </si>
  <si>
    <t>Deal #SW17</t>
  </si>
  <si>
    <t>TCEFPL</t>
  </si>
  <si>
    <t>SW17</t>
  </si>
  <si>
    <t>02/01/01-12/31/01</t>
  </si>
  <si>
    <t>SW18</t>
  </si>
  <si>
    <t>TC</t>
  </si>
  <si>
    <t>TransCanads Deal #HJN1001</t>
  </si>
  <si>
    <t>HJN1003</t>
  </si>
  <si>
    <t>less applicable fuel(.225)</t>
  </si>
  <si>
    <t>Aquila</t>
  </si>
  <si>
    <t>TransCanada Deal #HJN1003</t>
  </si>
  <si>
    <t>Aquila Risk Management Corp Deal #HJN1004</t>
  </si>
  <si>
    <t>I.F. PEPL-TX</t>
  </si>
  <si>
    <t>OK(mainline)</t>
  </si>
  <si>
    <t>HJN1004</t>
  </si>
  <si>
    <t>Risk Management Trading Corp Deal #QL2918.1</t>
  </si>
  <si>
    <t>NGI</t>
  </si>
  <si>
    <t>Southern Cal</t>
  </si>
  <si>
    <t>Border Avg</t>
  </si>
  <si>
    <t>Risk Management Trading Corp Deal #QL2915.1</t>
  </si>
  <si>
    <t>EPNG</t>
  </si>
  <si>
    <t>S.J.</t>
  </si>
  <si>
    <t xml:space="preserve">Floating </t>
  </si>
  <si>
    <t xml:space="preserve">ENA </t>
  </si>
  <si>
    <t>HJN1001 HJN1002</t>
  </si>
  <si>
    <t>01/01/01-03/31/01</t>
  </si>
  <si>
    <t>12/11/00 12/21/00</t>
  </si>
  <si>
    <t>QH8057.1 QF8229.1 QF0992.1 QF1003.1</t>
  </si>
  <si>
    <t>12/06/00 12/11/00 12/21/00</t>
  </si>
  <si>
    <t>Aquila, Oneok</t>
  </si>
  <si>
    <t>02/01/01-03/31/01</t>
  </si>
  <si>
    <t>NYMEX H.H. -</t>
  </si>
  <si>
    <t>QL2915.1</t>
  </si>
  <si>
    <t>01/01/02-12/31/02</t>
  </si>
  <si>
    <t>QL2918.1</t>
  </si>
  <si>
    <t>NGI Socal -</t>
  </si>
  <si>
    <t>I.F. S.J.</t>
  </si>
  <si>
    <t>Last month speculative risk management asset</t>
  </si>
  <si>
    <t>Speculative asset</t>
  </si>
  <si>
    <t>Sale</t>
  </si>
  <si>
    <t>Transport</t>
  </si>
  <si>
    <t xml:space="preserve">RISK BOOK </t>
  </si>
  <si>
    <t>As of January 31, 2001</t>
  </si>
  <si>
    <t>Hedged Position Summary</t>
  </si>
  <si>
    <t>OCI</t>
  </si>
  <si>
    <t xml:space="preserve">        01/31/00</t>
  </si>
  <si>
    <t xml:space="preserve">Note 3:  Gain and Losses are a measurement of the effectiveness of meeting the </t>
  </si>
  <si>
    <t xml:space="preserve">              stated hedge objective.</t>
  </si>
  <si>
    <t>Note 4:  Margin call:  $  1,000,000 - NNG</t>
  </si>
  <si>
    <t xml:space="preserve">                                   $30,000,000 - El Paso</t>
  </si>
  <si>
    <t>Aquila Deal #1129080</t>
  </si>
  <si>
    <t>Float Price (b)</t>
  </si>
  <si>
    <t>Float Price (a)</t>
  </si>
  <si>
    <t>03/01/01-03/31/01</t>
  </si>
  <si>
    <t xml:space="preserve">     Increase due to $CAD price changes from 12/31/00 to</t>
  </si>
  <si>
    <t xml:space="preserve">     January additions to risk management asset</t>
  </si>
  <si>
    <t xml:space="preserve">     Less January settled amount</t>
  </si>
  <si>
    <t>Hedging liability</t>
  </si>
  <si>
    <t>Total risk management asset/(liability)</t>
  </si>
  <si>
    <t>ENRON TRANSPORTATION SERVICES</t>
  </si>
  <si>
    <t>I.F. Elpaso</t>
  </si>
  <si>
    <t>Permian</t>
  </si>
  <si>
    <t>TWPL</t>
  </si>
  <si>
    <t>ENA Cal 02.a Swap-Need Confirm-</t>
  </si>
  <si>
    <t>ENA Cal 02.b Swap-Need Confirm-</t>
  </si>
  <si>
    <t>02/01/02-12/31/02</t>
  </si>
  <si>
    <t>Nymex</t>
  </si>
  <si>
    <t>PEPL</t>
  </si>
  <si>
    <t>ENA #QN5116.1</t>
  </si>
  <si>
    <t>QN5116.1</t>
  </si>
  <si>
    <t>Rick Management Trading Corp  Deal #QL5358.1</t>
  </si>
  <si>
    <t>H.H.</t>
  </si>
  <si>
    <t>I.F. ELPASO</t>
  </si>
  <si>
    <t>Rick Management Trading Corp  Deal #QL5357.1</t>
  </si>
  <si>
    <t>Socal</t>
  </si>
  <si>
    <t>QL5357.1</t>
  </si>
  <si>
    <t>QL5358.1</t>
  </si>
  <si>
    <t>Dynegy</t>
  </si>
  <si>
    <t>01/01/03-12/31/03</t>
  </si>
  <si>
    <t>Rick Management Trading Corp  Deal #QL9273.1</t>
  </si>
  <si>
    <t>Rick Management Trading Corp  Deal #QL9270.1</t>
  </si>
  <si>
    <t>IF SJ</t>
  </si>
  <si>
    <t>Calpine</t>
  </si>
  <si>
    <t>QL9270.1</t>
  </si>
  <si>
    <t>QL9273.1</t>
  </si>
  <si>
    <t>Rick Management Trading Corp  Deal #QL5363.1</t>
  </si>
  <si>
    <t>I.F.</t>
  </si>
  <si>
    <t>SJ</t>
  </si>
  <si>
    <t>Rick Management Trading Corp  Deal #QL5365.1</t>
  </si>
  <si>
    <t>QL5363.1</t>
  </si>
  <si>
    <t>QL5365.1</t>
  </si>
  <si>
    <t>12/01/01-12/31/01</t>
  </si>
  <si>
    <t>Rick Management Trading Corp  Deal #QL5444.1</t>
  </si>
  <si>
    <t xml:space="preserve">I.F. </t>
  </si>
  <si>
    <t>Rick Management Trading Corp  Deal #QL5424.1</t>
  </si>
  <si>
    <t>QL5424.1</t>
  </si>
  <si>
    <t>QL5444.1</t>
  </si>
  <si>
    <t>Total OCI</t>
  </si>
  <si>
    <t>Speculative Gains/(Losses)</t>
  </si>
  <si>
    <t>Anticipated</t>
  </si>
  <si>
    <t>Richardson</t>
  </si>
  <si>
    <t>11/01/02-12/31/02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</si>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</sst>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4" formatCode="_(* #,##0.0000_);_(* \(#,##0.0000\);_(* &quot;-&quot;??_);_(@_)"/>
    <numFmt numFmtId="178" formatCode="&quot;$&quot;#,##0.0000"/>
    <numFmt numFmtId="179" formatCode="mm/dd/yy"/>
    <numFmt numFmtId="180" formatCode="&quot;$&quot;#,##0.00000"/>
    <numFmt numFmtId="182" formatCode="&quot;$&quot;#,##0.000_);[Red]\(&quot;$&quot;#,##0.000\)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7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16" xfId="0" applyFont="1" applyBorder="1" applyAlignment="1">
      <alignment horizontal="center"/>
    </xf>
    <xf numFmtId="165" fontId="0" fillId="0" borderId="0" xfId="0" applyNumberFormat="1"/>
    <xf numFmtId="178" fontId="0" fillId="0" borderId="7" xfId="0" applyNumberFormat="1" applyBorder="1"/>
    <xf numFmtId="43" fontId="0" fillId="0" borderId="0" xfId="0" applyNumberFormat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14" fontId="8" fillId="0" borderId="7" xfId="0" applyNumberFormat="1" applyFont="1" applyBorder="1" applyAlignment="1">
      <alignment horizontal="center"/>
    </xf>
    <xf numFmtId="44" fontId="7" fillId="0" borderId="10" xfId="2" applyFont="1" applyBorder="1"/>
    <xf numFmtId="169" fontId="7" fillId="0" borderId="7" xfId="2" applyNumberFormat="1" applyFont="1" applyBorder="1" applyAlignment="1">
      <alignment horizontal="center"/>
    </xf>
    <xf numFmtId="179" fontId="0" fillId="0" borderId="7" xfId="0" applyNumberFormat="1" applyBorder="1"/>
    <xf numFmtId="179" fontId="0" fillId="0" borderId="11" xfId="0" applyNumberFormat="1" applyBorder="1"/>
    <xf numFmtId="179" fontId="0" fillId="0" borderId="0" xfId="0" applyNumberFormat="1"/>
    <xf numFmtId="0" fontId="0" fillId="2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0" fillId="0" borderId="11" xfId="0" applyBorder="1" applyAlignment="1">
      <alignment horizontal="center"/>
    </xf>
    <xf numFmtId="165" fontId="0" fillId="0" borderId="11" xfId="2" applyNumberFormat="1" applyFont="1" applyBorder="1"/>
    <xf numFmtId="165" fontId="0" fillId="0" borderId="11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/>
    <xf numFmtId="165" fontId="8" fillId="0" borderId="4" xfId="0" applyNumberFormat="1" applyFont="1" applyBorder="1"/>
    <xf numFmtId="164" fontId="8" fillId="0" borderId="0" xfId="0" applyNumberFormat="1" applyFont="1" applyBorder="1"/>
    <xf numFmtId="164" fontId="8" fillId="0" borderId="12" xfId="0" applyNumberFormat="1" applyFont="1" applyBorder="1"/>
    <xf numFmtId="164" fontId="1" fillId="0" borderId="3" xfId="0" applyNumberFormat="1" applyFont="1" applyBorder="1"/>
    <xf numFmtId="44" fontId="1" fillId="0" borderId="17" xfId="2" applyFont="1" applyBorder="1"/>
    <xf numFmtId="17" fontId="0" fillId="0" borderId="0" xfId="0" applyNumberFormat="1"/>
    <xf numFmtId="0" fontId="8" fillId="0" borderId="3" xfId="0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0" fillId="0" borderId="0" xfId="0" applyNumberFormat="1"/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164" fontId="2" fillId="0" borderId="7" xfId="1" applyNumberFormat="1" applyFill="1" applyBorder="1"/>
    <xf numFmtId="180" fontId="2" fillId="0" borderId="7" xfId="2" applyNumberFormat="1" applyFill="1" applyBorder="1"/>
    <xf numFmtId="44" fontId="2" fillId="0" borderId="7" xfId="2" applyFill="1" applyBorder="1"/>
    <xf numFmtId="43" fontId="0" fillId="0" borderId="0" xfId="0" applyNumberFormat="1" applyFill="1"/>
    <xf numFmtId="0" fontId="0" fillId="0" borderId="0" xfId="0" applyFill="1"/>
    <xf numFmtId="180" fontId="2" fillId="0" borderId="7" xfId="2" applyNumberFormat="1" applyBorder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2" fillId="0" borderId="10" xfId="2" applyBorder="1"/>
    <xf numFmtId="180" fontId="0" fillId="0" borderId="11" xfId="0" applyNumberFormat="1" applyBorder="1"/>
    <xf numFmtId="44" fontId="7" fillId="0" borderId="11" xfId="0" applyNumberFormat="1" applyFont="1" applyBorder="1"/>
    <xf numFmtId="0" fontId="8" fillId="0" borderId="12" xfId="0" applyFont="1" applyBorder="1" applyAlignment="1">
      <alignment horizontal="center"/>
    </xf>
    <xf numFmtId="44" fontId="7" fillId="0" borderId="12" xfId="2" applyFont="1" applyBorder="1"/>
    <xf numFmtId="44" fontId="8" fillId="0" borderId="0" xfId="0" applyNumberFormat="1" applyFont="1"/>
    <xf numFmtId="0" fontId="0" fillId="2" borderId="3" xfId="0" applyFill="1" applyBorder="1"/>
    <xf numFmtId="0" fontId="0" fillId="2" borderId="0" xfId="0" applyFill="1" applyBorder="1"/>
    <xf numFmtId="165" fontId="1" fillId="2" borderId="0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8" fontId="11" fillId="2" borderId="6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0" fillId="0" borderId="0" xfId="2" applyNumberFormat="1" applyFont="1"/>
    <xf numFmtId="174" fontId="0" fillId="0" borderId="7" xfId="0" applyNumberFormat="1" applyBorder="1"/>
    <xf numFmtId="164" fontId="8" fillId="0" borderId="6" xfId="0" applyNumberFormat="1" applyFont="1" applyBorder="1"/>
    <xf numFmtId="0" fontId="11" fillId="0" borderId="15" xfId="0" applyFont="1" applyBorder="1" applyAlignment="1">
      <alignment horizontal="center"/>
    </xf>
    <xf numFmtId="165" fontId="9" fillId="0" borderId="7" xfId="0" applyNumberFormat="1" applyFont="1" applyBorder="1"/>
    <xf numFmtId="44" fontId="8" fillId="0" borderId="4" xfId="0" quotePrefix="1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44" fontId="0" fillId="0" borderId="0" xfId="0" applyNumberFormat="1" applyFill="1" applyBorder="1"/>
    <xf numFmtId="44" fontId="0" fillId="0" borderId="0" xfId="0" applyNumberFormat="1" applyBorder="1"/>
    <xf numFmtId="44" fontId="2" fillId="0" borderId="3" xfId="2" applyBorder="1"/>
    <xf numFmtId="44" fontId="2" fillId="0" borderId="0" xfId="2" applyBorder="1"/>
    <xf numFmtId="0" fontId="0" fillId="0" borderId="0" xfId="0" applyBorder="1"/>
    <xf numFmtId="44" fontId="0" fillId="0" borderId="8" xfId="2" applyFont="1" applyFill="1" applyBorder="1"/>
    <xf numFmtId="44" fontId="0" fillId="0" borderId="6" xfId="2" applyFont="1" applyBorder="1"/>
    <xf numFmtId="14" fontId="8" fillId="0" borderId="3" xfId="0" applyNumberFormat="1" applyFont="1" applyFill="1" applyBorder="1" applyAlignment="1">
      <alignment horizontal="center"/>
    </xf>
    <xf numFmtId="164" fontId="2" fillId="0" borderId="0" xfId="1" applyNumberFormat="1" applyBorder="1"/>
    <xf numFmtId="165" fontId="2" fillId="0" borderId="10" xfId="2" applyNumberFormat="1" applyBorder="1"/>
    <xf numFmtId="0" fontId="7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Continuous"/>
    </xf>
    <xf numFmtId="0" fontId="7" fillId="3" borderId="14" xfId="0" applyFont="1" applyFill="1" applyBorder="1" applyAlignment="1">
      <alignment horizontal="centerContinuous"/>
    </xf>
    <xf numFmtId="0" fontId="7" fillId="3" borderId="15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165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7" fontId="8" fillId="0" borderId="7" xfId="0" applyNumberFormat="1" applyFont="1" applyBorder="1"/>
    <xf numFmtId="44" fontId="7" fillId="0" borderId="7" xfId="2" applyFont="1" applyBorder="1"/>
    <xf numFmtId="44" fontId="7" fillId="0" borderId="4" xfId="2" applyFont="1" applyBorder="1"/>
    <xf numFmtId="0" fontId="7" fillId="0" borderId="7" xfId="0" applyFont="1" applyBorder="1" applyAlignment="1">
      <alignment horizontal="center"/>
    </xf>
    <xf numFmtId="165" fontId="8" fillId="0" borderId="7" xfId="2" applyNumberFormat="1" applyFont="1" applyFill="1" applyBorder="1"/>
    <xf numFmtId="164" fontId="7" fillId="0" borderId="10" xfId="0" applyNumberFormat="1" applyFont="1" applyBorder="1"/>
    <xf numFmtId="0" fontId="8" fillId="2" borderId="3" xfId="0" applyFont="1" applyFill="1" applyBorder="1"/>
    <xf numFmtId="0" fontId="8" fillId="2" borderId="0" xfId="0" applyFont="1" applyFill="1" applyBorder="1"/>
    <xf numFmtId="165" fontId="7" fillId="2" borderId="0" xfId="0" applyNumberFormat="1" applyFont="1" applyFill="1" applyBorder="1" applyAlignment="1">
      <alignment horizontal="center"/>
    </xf>
    <xf numFmtId="44" fontId="7" fillId="2" borderId="6" xfId="2" applyFont="1" applyFill="1" applyBorder="1" applyAlignment="1">
      <alignment horizontal="center"/>
    </xf>
    <xf numFmtId="165" fontId="8" fillId="0" borderId="3" xfId="0" applyNumberFormat="1" applyFont="1" applyBorder="1"/>
    <xf numFmtId="164" fontId="8" fillId="0" borderId="3" xfId="1" applyNumberFormat="1" applyFont="1" applyBorder="1"/>
    <xf numFmtId="164" fontId="7" fillId="0" borderId="7" xfId="1" applyNumberFormat="1" applyFont="1" applyBorder="1"/>
    <xf numFmtId="164" fontId="8" fillId="0" borderId="5" xfId="1" applyNumberFormat="1" applyFont="1" applyFill="1" applyBorder="1" applyAlignment="1">
      <alignment horizontal="center"/>
    </xf>
    <xf numFmtId="44" fontId="8" fillId="0" borderId="5" xfId="2" applyFont="1" applyFill="1" applyBorder="1" applyAlignment="1">
      <alignment horizontal="center"/>
    </xf>
    <xf numFmtId="165" fontId="8" fillId="0" borderId="3" xfId="2" applyNumberFormat="1" applyFont="1" applyFill="1" applyBorder="1" applyAlignment="1">
      <alignment horizontal="center"/>
    </xf>
    <xf numFmtId="165" fontId="8" fillId="0" borderId="0" xfId="0" applyNumberFormat="1" applyFont="1"/>
    <xf numFmtId="43" fontId="8" fillId="0" borderId="0" xfId="0" applyNumberFormat="1" applyFont="1"/>
    <xf numFmtId="165" fontId="8" fillId="0" borderId="11" xfId="2" applyNumberFormat="1" applyFont="1" applyFill="1" applyBorder="1" applyAlignment="1">
      <alignment horizontal="center"/>
    </xf>
    <xf numFmtId="165" fontId="8" fillId="0" borderId="5" xfId="2" applyNumberFormat="1" applyFont="1" applyFill="1" applyBorder="1" applyAlignment="1">
      <alignment horizontal="center"/>
    </xf>
    <xf numFmtId="165" fontId="0" fillId="0" borderId="4" xfId="2" applyNumberFormat="1" applyFont="1" applyBorder="1"/>
    <xf numFmtId="164" fontId="0" fillId="0" borderId="0" xfId="0" applyNumberFormat="1"/>
    <xf numFmtId="0" fontId="11" fillId="2" borderId="6" xfId="0" applyFont="1" applyFill="1" applyBorder="1" applyAlignment="1">
      <alignment horizontal="center"/>
    </xf>
    <xf numFmtId="0" fontId="8" fillId="0" borderId="7" xfId="0" applyFont="1" applyBorder="1" applyAlignment="1">
      <alignment wrapText="1"/>
    </xf>
    <xf numFmtId="43" fontId="0" fillId="0" borderId="7" xfId="0" applyNumberFormat="1" applyBorder="1"/>
    <xf numFmtId="0" fontId="8" fillId="0" borderId="3" xfId="0" applyFont="1" applyBorder="1"/>
    <xf numFmtId="164" fontId="7" fillId="0" borderId="3" xfId="0" applyNumberFormat="1" applyFont="1" applyBorder="1"/>
    <xf numFmtId="44" fontId="8" fillId="0" borderId="3" xfId="0" applyNumberFormat="1" applyFont="1" applyBorder="1"/>
    <xf numFmtId="0" fontId="8" fillId="0" borderId="7" xfId="0" applyFont="1" applyFill="1" applyBorder="1" applyAlignment="1">
      <alignment horizontal="center"/>
    </xf>
    <xf numFmtId="0" fontId="7" fillId="0" borderId="3" xfId="0" applyFont="1" applyFill="1" applyBorder="1" applyAlignment="1"/>
    <xf numFmtId="44" fontId="7" fillId="0" borderId="3" xfId="0" applyNumberFormat="1" applyFont="1" applyFill="1" applyBorder="1" applyAlignment="1"/>
    <xf numFmtId="44" fontId="8" fillId="0" borderId="0" xfId="2" applyFont="1"/>
    <xf numFmtId="0" fontId="5" fillId="0" borderId="0" xfId="0" applyFont="1" applyAlignment="1">
      <alignment horizontal="center"/>
    </xf>
    <xf numFmtId="0" fontId="8" fillId="0" borderId="7" xfId="0" applyFont="1" applyFill="1" applyBorder="1"/>
    <xf numFmtId="14" fontId="8" fillId="0" borderId="7" xfId="0" applyNumberFormat="1" applyFont="1" applyFill="1" applyBorder="1" applyAlignment="1">
      <alignment horizontal="center"/>
    </xf>
    <xf numFmtId="165" fontId="8" fillId="0" borderId="7" xfId="0" applyNumberFormat="1" applyFont="1" applyFill="1" applyBorder="1"/>
    <xf numFmtId="164" fontId="8" fillId="0" borderId="7" xfId="0" applyNumberFormat="1" applyFont="1" applyFill="1" applyBorder="1"/>
    <xf numFmtId="164" fontId="8" fillId="0" borderId="0" xfId="0" applyNumberFormat="1" applyFont="1" applyFill="1" applyBorder="1"/>
    <xf numFmtId="44" fontId="8" fillId="0" borderId="7" xfId="0" applyNumberFormat="1" applyFont="1" applyFill="1" applyBorder="1"/>
    <xf numFmtId="165" fontId="8" fillId="0" borderId="3" xfId="2" applyNumberFormat="1" applyFont="1" applyFill="1" applyBorder="1"/>
    <xf numFmtId="165" fontId="8" fillId="0" borderId="3" xfId="0" applyNumberFormat="1" applyFont="1" applyFill="1" applyBorder="1"/>
    <xf numFmtId="164" fontId="8" fillId="0" borderId="3" xfId="0" applyNumberFormat="1" applyFont="1" applyFill="1" applyBorder="1"/>
    <xf numFmtId="44" fontId="8" fillId="0" borderId="3" xfId="0" applyNumberFormat="1" applyFont="1" applyFill="1" applyBorder="1"/>
    <xf numFmtId="164" fontId="8" fillId="0" borderId="11" xfId="0" applyNumberFormat="1" applyFont="1" applyFill="1" applyBorder="1"/>
    <xf numFmtId="164" fontId="8" fillId="0" borderId="6" xfId="0" applyNumberFormat="1" applyFont="1" applyFill="1" applyBorder="1"/>
    <xf numFmtId="44" fontId="8" fillId="0" borderId="11" xfId="0" applyNumberFormat="1" applyFont="1" applyFill="1" applyBorder="1"/>
    <xf numFmtId="164" fontId="7" fillId="0" borderId="7" xfId="0" applyNumberFormat="1" applyFont="1" applyFill="1" applyBorder="1"/>
    <xf numFmtId="164" fontId="7" fillId="0" borderId="0" xfId="0" applyNumberFormat="1" applyFont="1" applyFill="1" applyBorder="1"/>
    <xf numFmtId="44" fontId="7" fillId="0" borderId="7" xfId="0" applyNumberFormat="1" applyFont="1" applyFill="1" applyBorder="1"/>
    <xf numFmtId="44" fontId="8" fillId="0" borderId="6" xfId="0" applyNumberFormat="1" applyFont="1" applyBorder="1"/>
    <xf numFmtId="44" fontId="8" fillId="0" borderId="18" xfId="2" applyFont="1" applyBorder="1"/>
    <xf numFmtId="0" fontId="5" fillId="0" borderId="0" xfId="0" applyFont="1" applyBorder="1" applyAlignment="1">
      <alignment horizontal="left"/>
    </xf>
    <xf numFmtId="44" fontId="1" fillId="2" borderId="6" xfId="2" applyFont="1" applyFill="1" applyBorder="1" applyAlignment="1"/>
    <xf numFmtId="44" fontId="8" fillId="0" borderId="7" xfId="2" applyFont="1" applyFill="1" applyBorder="1"/>
    <xf numFmtId="164" fontId="8" fillId="0" borderId="12" xfId="0" applyNumberFormat="1" applyFont="1" applyFill="1" applyBorder="1"/>
    <xf numFmtId="165" fontId="8" fillId="0" borderId="11" xfId="2" applyNumberFormat="1" applyFont="1" applyFill="1" applyBorder="1"/>
    <xf numFmtId="165" fontId="8" fillId="0" borderId="11" xfId="2" applyNumberFormat="1" applyFont="1" applyBorder="1"/>
    <xf numFmtId="44" fontId="8" fillId="0" borderId="11" xfId="2" applyFont="1" applyFill="1" applyBorder="1" applyAlignment="1">
      <alignment horizontal="center"/>
    </xf>
    <xf numFmtId="167" fontId="8" fillId="0" borderId="11" xfId="2" applyNumberFormat="1" applyFont="1" applyFill="1" applyBorder="1" applyAlignment="1">
      <alignment horizontal="center"/>
    </xf>
    <xf numFmtId="44" fontId="8" fillId="0" borderId="0" xfId="2" applyFont="1" applyBorder="1"/>
    <xf numFmtId="182" fontId="11" fillId="2" borderId="6" xfId="0" applyNumberFormat="1" applyFont="1" applyFill="1" applyBorder="1" applyAlignment="1">
      <alignment horizontal="center"/>
    </xf>
    <xf numFmtId="43" fontId="0" fillId="0" borderId="3" xfId="0" applyNumberFormat="1" applyBorder="1"/>
    <xf numFmtId="0" fontId="7" fillId="0" borderId="7" xfId="0" applyFont="1" applyFill="1" applyBorder="1"/>
    <xf numFmtId="165" fontId="7" fillId="0" borderId="7" xfId="0" applyNumberFormat="1" applyFont="1" applyFill="1" applyBorder="1"/>
    <xf numFmtId="0" fontId="7" fillId="0" borderId="11" xfId="0" applyFont="1" applyFill="1" applyBorder="1"/>
    <xf numFmtId="165" fontId="7" fillId="0" borderId="11" xfId="0" applyNumberFormat="1" applyFont="1" applyFill="1" applyBorder="1"/>
    <xf numFmtId="164" fontId="7" fillId="0" borderId="11" xfId="0" applyNumberFormat="1" applyFont="1" applyFill="1" applyBorder="1"/>
    <xf numFmtId="164" fontId="7" fillId="0" borderId="12" xfId="0" applyNumberFormat="1" applyFont="1" applyFill="1" applyBorder="1"/>
    <xf numFmtId="164" fontId="7" fillId="0" borderId="6" xfId="0" applyNumberFormat="1" applyFont="1" applyFill="1" applyBorder="1"/>
    <xf numFmtId="0" fontId="8" fillId="0" borderId="11" xfId="0" applyFont="1" applyFill="1" applyBorder="1"/>
    <xf numFmtId="14" fontId="8" fillId="0" borderId="3" xfId="0" applyNumberFormat="1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Continuous"/>
    </xf>
    <xf numFmtId="0" fontId="7" fillId="5" borderId="0" xfId="0" applyFont="1" applyFill="1" applyBorder="1" applyAlignment="1">
      <alignment horizontal="centerContinuous"/>
    </xf>
    <xf numFmtId="0" fontId="7" fillId="5" borderId="6" xfId="0" applyFont="1" applyFill="1" applyBorder="1" applyAlignment="1">
      <alignment horizontal="centerContinuous"/>
    </xf>
    <xf numFmtId="0" fontId="7" fillId="5" borderId="0" xfId="0" quotePrefix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6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Continuous"/>
    </xf>
    <xf numFmtId="0" fontId="7" fillId="5" borderId="9" xfId="0" applyFont="1" applyFill="1" applyBorder="1" applyAlignment="1">
      <alignment horizontal="centerContinuous"/>
    </xf>
    <xf numFmtId="0" fontId="7" fillId="6" borderId="6" xfId="0" applyFont="1" applyFill="1" applyBorder="1" applyAlignment="1">
      <alignment horizontal="centerContinuous"/>
    </xf>
    <xf numFmtId="0" fontId="7" fillId="5" borderId="12" xfId="0" applyFont="1" applyFill="1" applyBorder="1" applyAlignment="1">
      <alignment horizontal="centerContinuous"/>
    </xf>
    <xf numFmtId="0" fontId="7" fillId="6" borderId="0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164" fontId="7" fillId="5" borderId="6" xfId="1" applyNumberFormat="1" applyFont="1" applyFill="1" applyBorder="1" applyAlignment="1">
      <alignment horizontal="center"/>
    </xf>
    <xf numFmtId="0" fontId="7" fillId="6" borderId="6" xfId="0" quotePrefix="1" applyFont="1" applyFill="1" applyBorder="1" applyAlignment="1">
      <alignment horizontal="center"/>
    </xf>
    <xf numFmtId="0" fontId="7" fillId="6" borderId="12" xfId="0" quotePrefix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8" fillId="0" borderId="9" xfId="0" applyFont="1" applyBorder="1"/>
    <xf numFmtId="44" fontId="7" fillId="0" borderId="13" xfId="0" applyNumberFormat="1" applyFont="1" applyBorder="1"/>
    <xf numFmtId="44" fontId="8" fillId="0" borderId="19" xfId="0" applyNumberFormat="1" applyFont="1" applyBorder="1"/>
    <xf numFmtId="44" fontId="7" fillId="0" borderId="1" xfId="0" applyNumberFormat="1" applyFont="1" applyFill="1" applyBorder="1" applyAlignment="1"/>
    <xf numFmtId="0" fontId="7" fillId="0" borderId="9" xfId="0" applyFont="1" applyFill="1" applyBorder="1" applyAlignment="1">
      <alignment horizontal="center"/>
    </xf>
    <xf numFmtId="44" fontId="7" fillId="0" borderId="4" xfId="0" applyNumberFormat="1" applyFont="1" applyFill="1" applyBorder="1" applyAlignment="1">
      <alignment horizontal="center"/>
    </xf>
    <xf numFmtId="44" fontId="7" fillId="0" borderId="3" xfId="0" applyNumberFormat="1" applyFont="1" applyFill="1" applyBorder="1" applyAlignment="1">
      <alignment horizontal="center"/>
    </xf>
    <xf numFmtId="0" fontId="8" fillId="0" borderId="5" xfId="0" applyFont="1" applyBorder="1"/>
    <xf numFmtId="0" fontId="7" fillId="5" borderId="1" xfId="0" applyFont="1" applyFill="1" applyBorder="1" applyAlignment="1">
      <alignment horizontal="centerContinuous"/>
    </xf>
    <xf numFmtId="0" fontId="7" fillId="5" borderId="9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Continuous"/>
    </xf>
    <xf numFmtId="0" fontId="7" fillId="5" borderId="5" xfId="0" applyFont="1" applyFill="1" applyBorder="1" applyAlignment="1">
      <alignment horizontal="centerContinuous"/>
    </xf>
    <xf numFmtId="44" fontId="8" fillId="0" borderId="17" xfId="0" applyNumberFormat="1" applyFont="1" applyBorder="1"/>
    <xf numFmtId="0" fontId="8" fillId="0" borderId="7" xfId="0" applyFont="1" applyBorder="1" applyAlignment="1">
      <alignment horizontal="left"/>
    </xf>
    <xf numFmtId="0" fontId="7" fillId="5" borderId="5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80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ET&amp;Scurves(b)1127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_013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ck%20end%20deal%200131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HJN1003%20&amp;%20HJN1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a%20tc%20(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QL2918.1%20&amp;%20QL291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23">
          <cell r="C23">
            <v>4.7850000000000001</v>
          </cell>
        </row>
        <row r="30">
          <cell r="C30">
            <v>4.0419999999999998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PEPL Tx, Ok"/>
      <sheetName val="Demarc"/>
      <sheetName val="NYMEX"/>
      <sheetName val="Henry Hub"/>
      <sheetName val="NGI Socal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19">
          <cell r="F19">
            <v>5.2050000000000001</v>
          </cell>
        </row>
        <row r="20">
          <cell r="F20">
            <v>5.2549999999999999</v>
          </cell>
        </row>
        <row r="21">
          <cell r="F21">
            <v>5.0649999999999995</v>
          </cell>
        </row>
        <row r="22">
          <cell r="F22">
            <v>4.7649999999999997</v>
          </cell>
        </row>
        <row r="23">
          <cell r="F23">
            <v>4.37</v>
          </cell>
        </row>
        <row r="24">
          <cell r="F24">
            <v>4.24</v>
          </cell>
        </row>
        <row r="25">
          <cell r="F25">
            <v>4.2349999999999994</v>
          </cell>
        </row>
        <row r="26">
          <cell r="F26">
            <v>4.25</v>
          </cell>
        </row>
        <row r="27">
          <cell r="F27">
            <v>4.25</v>
          </cell>
        </row>
        <row r="28">
          <cell r="F28">
            <v>4.25</v>
          </cell>
        </row>
        <row r="29">
          <cell r="F29">
            <v>4.2649999999999997</v>
          </cell>
        </row>
        <row r="30">
          <cell r="F30">
            <v>4.3950000000000005</v>
          </cell>
        </row>
        <row r="31">
          <cell r="F31">
            <v>4.5</v>
          </cell>
        </row>
        <row r="32">
          <cell r="F32">
            <v>4.54</v>
          </cell>
        </row>
        <row r="33">
          <cell r="F33">
            <v>4.3760000000000003</v>
          </cell>
        </row>
        <row r="34">
          <cell r="F34">
            <v>4.1459999999999999</v>
          </cell>
        </row>
        <row r="35">
          <cell r="F35">
            <v>3.9210000000000003</v>
          </cell>
        </row>
        <row r="36">
          <cell r="F36">
            <v>3.8870000000000005</v>
          </cell>
        </row>
        <row r="37">
          <cell r="F37">
            <v>3.9119999999999999</v>
          </cell>
        </row>
        <row r="38">
          <cell r="F38">
            <v>3.9329999999999998</v>
          </cell>
        </row>
        <row r="39">
          <cell r="F39">
            <v>3.9329999999999998</v>
          </cell>
        </row>
        <row r="40">
          <cell r="F40">
            <v>3.9480000000000004</v>
          </cell>
        </row>
        <row r="41">
          <cell r="F41">
            <v>3.9779999999999998</v>
          </cell>
        </row>
        <row r="42">
          <cell r="F42">
            <v>4.1130000000000004</v>
          </cell>
        </row>
        <row r="43">
          <cell r="F43">
            <v>4.2380000000000004</v>
          </cell>
        </row>
        <row r="49">
          <cell r="F49">
            <v>6.6050000000000004</v>
          </cell>
        </row>
        <row r="50">
          <cell r="F50">
            <v>5.8319999999999999</v>
          </cell>
        </row>
        <row r="51">
          <cell r="F51">
            <v>5.3</v>
          </cell>
        </row>
        <row r="52">
          <cell r="F52">
            <v>5.16</v>
          </cell>
        </row>
        <row r="53">
          <cell r="F53">
            <v>5.18</v>
          </cell>
        </row>
        <row r="54">
          <cell r="F54">
            <v>5.3699999999999992</v>
          </cell>
        </row>
        <row r="55">
          <cell r="F55">
            <v>5.38</v>
          </cell>
        </row>
        <row r="56">
          <cell r="F56">
            <v>5.35</v>
          </cell>
        </row>
        <row r="57">
          <cell r="F57">
            <v>5.3250000000000002</v>
          </cell>
        </row>
        <row r="58">
          <cell r="F58">
            <v>5.375</v>
          </cell>
        </row>
        <row r="59">
          <cell r="F59">
            <v>5.5100000000000007</v>
          </cell>
        </row>
        <row r="60">
          <cell r="F60">
            <v>5.5600000000000005</v>
          </cell>
        </row>
        <row r="61">
          <cell r="F61">
            <v>5.37</v>
          </cell>
        </row>
        <row r="62">
          <cell r="F62">
            <v>5.07</v>
          </cell>
        </row>
        <row r="63">
          <cell r="F63">
            <v>4.6400000000000006</v>
          </cell>
        </row>
        <row r="64">
          <cell r="F64">
            <v>4.5100000000000007</v>
          </cell>
        </row>
        <row r="65">
          <cell r="F65">
            <v>4.5049999999999999</v>
          </cell>
        </row>
        <row r="66">
          <cell r="F66">
            <v>4.5200000000000005</v>
          </cell>
        </row>
        <row r="67">
          <cell r="F67">
            <v>4.5200000000000005</v>
          </cell>
        </row>
        <row r="68">
          <cell r="F68">
            <v>4.5200000000000005</v>
          </cell>
        </row>
        <row r="69">
          <cell r="F69">
            <v>4.5350000000000001</v>
          </cell>
        </row>
        <row r="70">
          <cell r="F70">
            <v>4.6349999999999998</v>
          </cell>
        </row>
        <row r="71">
          <cell r="F71">
            <v>4.7399999999999993</v>
          </cell>
        </row>
      </sheetData>
      <sheetData sheetId="1">
        <row r="9">
          <cell r="F9">
            <v>4.4549999999999992</v>
          </cell>
        </row>
        <row r="10">
          <cell r="F10">
            <v>4.47</v>
          </cell>
        </row>
        <row r="11">
          <cell r="F11">
            <v>4.47</v>
          </cell>
        </row>
        <row r="12">
          <cell r="F12">
            <v>4.47</v>
          </cell>
        </row>
        <row r="13">
          <cell r="F13">
            <v>4.4849999999999994</v>
          </cell>
        </row>
      </sheetData>
      <sheetData sheetId="2">
        <row r="12">
          <cell r="E12">
            <v>6.1930000000000005</v>
          </cell>
        </row>
        <row r="13">
          <cell r="E13">
            <v>5.6369999999999996</v>
          </cell>
        </row>
      </sheetData>
      <sheetData sheetId="3">
        <row r="12">
          <cell r="E12">
            <v>6.423</v>
          </cell>
        </row>
        <row r="13">
          <cell r="E13">
            <v>5.8369999999999997</v>
          </cell>
        </row>
        <row r="26">
          <cell r="E26">
            <v>4.59</v>
          </cell>
        </row>
      </sheetData>
      <sheetData sheetId="4">
        <row r="8">
          <cell r="C8">
            <v>6.2930000000000001</v>
          </cell>
        </row>
        <row r="9">
          <cell r="C9">
            <v>5.7069999999999999</v>
          </cell>
        </row>
        <row r="10">
          <cell r="C10">
            <v>5.3</v>
          </cell>
        </row>
        <row r="11">
          <cell r="C11">
            <v>5.16</v>
          </cell>
        </row>
        <row r="12">
          <cell r="C12">
            <v>5.18</v>
          </cell>
        </row>
        <row r="13">
          <cell r="C13">
            <v>5.22</v>
          </cell>
        </row>
        <row r="14">
          <cell r="C14">
            <v>5.23</v>
          </cell>
        </row>
        <row r="15">
          <cell r="C15">
            <v>5.2</v>
          </cell>
        </row>
        <row r="16">
          <cell r="C16">
            <v>5.2149999999999999</v>
          </cell>
        </row>
        <row r="17">
          <cell r="C17">
            <v>5.3049999999999997</v>
          </cell>
        </row>
        <row r="18">
          <cell r="C18">
            <v>5.44</v>
          </cell>
        </row>
        <row r="19">
          <cell r="C19">
            <v>5.49</v>
          </cell>
        </row>
        <row r="20">
          <cell r="C20">
            <v>5.3</v>
          </cell>
        </row>
        <row r="21">
          <cell r="C21">
            <v>5</v>
          </cell>
        </row>
        <row r="22">
          <cell r="C22">
            <v>4.57</v>
          </cell>
        </row>
        <row r="23">
          <cell r="C23">
            <v>4.4400000000000004</v>
          </cell>
        </row>
        <row r="24">
          <cell r="C24">
            <v>4.4349999999999996</v>
          </cell>
        </row>
        <row r="25">
          <cell r="C25">
            <v>4.45</v>
          </cell>
        </row>
        <row r="26">
          <cell r="C26">
            <v>4.45</v>
          </cell>
        </row>
        <row r="27">
          <cell r="C27">
            <v>4.45</v>
          </cell>
        </row>
        <row r="28">
          <cell r="C28">
            <v>4.4649999999999999</v>
          </cell>
        </row>
        <row r="29">
          <cell r="C29">
            <v>4.57</v>
          </cell>
        </row>
        <row r="30">
          <cell r="C30">
            <v>4.6749999999999998</v>
          </cell>
        </row>
      </sheetData>
      <sheetData sheetId="5">
        <row r="12">
          <cell r="E12">
            <v>6.2930000000000001</v>
          </cell>
        </row>
        <row r="13">
          <cell r="E13">
            <v>5.7069999999999999</v>
          </cell>
        </row>
        <row r="15">
          <cell r="E15">
            <v>4.57</v>
          </cell>
        </row>
        <row r="17">
          <cell r="E17">
            <v>4.7149999999999999</v>
          </cell>
        </row>
        <row r="18">
          <cell r="E18">
            <v>4.5510000000000002</v>
          </cell>
        </row>
        <row r="19">
          <cell r="E19">
            <v>4.3209999999999997</v>
          </cell>
        </row>
        <row r="20">
          <cell r="E20">
            <v>4.0910000000000002</v>
          </cell>
        </row>
        <row r="21">
          <cell r="E21">
            <v>4.0570000000000004</v>
          </cell>
        </row>
        <row r="22">
          <cell r="E22">
            <v>4.0819999999999999</v>
          </cell>
        </row>
        <row r="23">
          <cell r="E23">
            <v>4.1029999999999998</v>
          </cell>
        </row>
        <row r="24">
          <cell r="E24">
            <v>4.1029999999999998</v>
          </cell>
        </row>
        <row r="25">
          <cell r="E25">
            <v>4.1180000000000003</v>
          </cell>
        </row>
        <row r="26">
          <cell r="E26">
            <v>4.1479999999999997</v>
          </cell>
        </row>
        <row r="27">
          <cell r="E27">
            <v>4.2880000000000003</v>
          </cell>
        </row>
        <row r="28">
          <cell r="E28">
            <v>4.4130000000000003</v>
          </cell>
        </row>
      </sheetData>
      <sheetData sheetId="6">
        <row r="9">
          <cell r="E9">
            <v>7.6800000000000006</v>
          </cell>
        </row>
        <row r="10">
          <cell r="E10">
            <v>7.7200000000000006</v>
          </cell>
        </row>
        <row r="11">
          <cell r="E11">
            <v>7.43</v>
          </cell>
        </row>
        <row r="12">
          <cell r="E12">
            <v>6.6800000000000006</v>
          </cell>
        </row>
        <row r="13">
          <cell r="E13">
            <v>6.1</v>
          </cell>
        </row>
        <row r="14">
          <cell r="E14">
            <v>5.97</v>
          </cell>
        </row>
        <row r="15">
          <cell r="E15">
            <v>5.964999999999999</v>
          </cell>
        </row>
        <row r="16">
          <cell r="E16">
            <v>6.7249999999999996</v>
          </cell>
        </row>
        <row r="17">
          <cell r="E17">
            <v>6.7249999999999996</v>
          </cell>
        </row>
        <row r="18">
          <cell r="E18">
            <v>6.7249999999999996</v>
          </cell>
        </row>
        <row r="19">
          <cell r="E19">
            <v>6.1099999999999994</v>
          </cell>
        </row>
        <row r="20">
          <cell r="E20">
            <v>5.93</v>
          </cell>
        </row>
        <row r="21">
          <cell r="E21">
            <v>6.0349999999999993</v>
          </cell>
        </row>
        <row r="22">
          <cell r="E22">
            <v>6.0749999999999993</v>
          </cell>
        </row>
        <row r="23">
          <cell r="E23">
            <v>5.9109999999999996</v>
          </cell>
        </row>
        <row r="24">
          <cell r="E24">
            <v>5.6809999999999992</v>
          </cell>
        </row>
        <row r="25">
          <cell r="E25">
            <v>5.5659999999999998</v>
          </cell>
        </row>
        <row r="26">
          <cell r="E26">
            <v>5.532</v>
          </cell>
        </row>
        <row r="27">
          <cell r="E27">
            <v>5.5569999999999995</v>
          </cell>
        </row>
        <row r="28">
          <cell r="E28">
            <v>5.5779999999999994</v>
          </cell>
        </row>
        <row r="29">
          <cell r="E29">
            <v>5.5779999999999994</v>
          </cell>
        </row>
        <row r="30">
          <cell r="E30">
            <v>5.593</v>
          </cell>
        </row>
        <row r="31">
          <cell r="E31">
            <v>5.6229999999999993</v>
          </cell>
        </row>
        <row r="32">
          <cell r="E32">
            <v>4.9690000000000003</v>
          </cell>
        </row>
        <row r="33">
          <cell r="E33">
            <v>5.0940000000000003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-1577186.1276234803</v>
          </cell>
          <cell r="J36">
            <v>-194844.43213000137</v>
          </cell>
          <cell r="K36">
            <v>-1382341.6954934788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1"/>
      <sheetName val="0201"/>
      <sheetName val="0301"/>
    </sheetNames>
    <sheetDataSet>
      <sheetData sheetId="0"/>
      <sheetData sheetId="1">
        <row r="12">
          <cell r="E12">
            <v>-30800.000000000233</v>
          </cell>
        </row>
      </sheetData>
      <sheetData sheetId="2">
        <row r="12">
          <cell r="E12">
            <v>-43400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1"/>
      <sheetName val="0201"/>
      <sheetName val="0301"/>
    </sheetNames>
    <sheetDataSet>
      <sheetData sheetId="0">
        <row r="12">
          <cell r="E12">
            <v>-23250.000000000233</v>
          </cell>
        </row>
        <row r="24">
          <cell r="E24">
            <v>0</v>
          </cell>
        </row>
        <row r="36">
          <cell r="E36">
            <v>10849.999999999767</v>
          </cell>
        </row>
      </sheetData>
      <sheetData sheetId="1">
        <row r="12">
          <cell r="E12">
            <v>-72800</v>
          </cell>
        </row>
        <row r="24">
          <cell r="E24">
            <v>-51800</v>
          </cell>
        </row>
        <row r="36">
          <cell r="E36">
            <v>-42000.000000000116</v>
          </cell>
        </row>
      </sheetData>
      <sheetData sheetId="2">
        <row r="12">
          <cell r="E12">
            <v>-85250</v>
          </cell>
        </row>
        <row r="24">
          <cell r="E24">
            <v>-61999.999999999884</v>
          </cell>
        </row>
        <row r="36">
          <cell r="E36">
            <v>-51150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2"/>
      <sheetName val="0202"/>
      <sheetName val="0302"/>
      <sheetName val="0402"/>
      <sheetName val="0502"/>
      <sheetName val="0602"/>
      <sheetName val="0702"/>
      <sheetName val="0802"/>
      <sheetName val="0902"/>
      <sheetName val="1002"/>
      <sheetName val="1102"/>
      <sheetName val="1202."/>
    </sheetNames>
    <sheetDataSet>
      <sheetData sheetId="0">
        <row r="12">
          <cell r="E12">
            <v>976112.50000000093</v>
          </cell>
        </row>
      </sheetData>
      <sheetData sheetId="1">
        <row r="12">
          <cell r="E12">
            <v>804650.00000000093</v>
          </cell>
        </row>
      </sheetData>
      <sheetData sheetId="2">
        <row r="12">
          <cell r="E12">
            <v>507237.50000000093</v>
          </cell>
        </row>
      </sheetData>
      <sheetData sheetId="3">
        <row r="12">
          <cell r="E12">
            <v>338249.99999999953</v>
          </cell>
        </row>
      </sheetData>
      <sheetData sheetId="4">
        <row r="12">
          <cell r="E12">
            <v>349525</v>
          </cell>
        </row>
      </sheetData>
      <sheetData sheetId="5">
        <row r="12">
          <cell r="E12">
            <v>338250</v>
          </cell>
        </row>
      </sheetData>
      <sheetData sheetId="6">
        <row r="12">
          <cell r="E12">
            <v>984637.50000000047</v>
          </cell>
        </row>
      </sheetData>
      <sheetData sheetId="7">
        <row r="12">
          <cell r="E12">
            <v>984637.50000000047</v>
          </cell>
        </row>
      </sheetData>
      <sheetData sheetId="8">
        <row r="12">
          <cell r="E12">
            <v>952875.00000000047</v>
          </cell>
        </row>
      </sheetData>
      <sheetData sheetId="9">
        <row r="12">
          <cell r="E12">
            <v>447562.5</v>
          </cell>
        </row>
      </sheetData>
      <sheetData sheetId="10">
        <row r="12">
          <cell r="E12">
            <v>177374.99999999907</v>
          </cell>
        </row>
      </sheetData>
      <sheetData sheetId="11">
        <row r="12">
          <cell r="E12">
            <v>183287.49999999953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zoomScaleNormal="100" workbookViewId="0">
      <selection sqref="A1:O1"/>
    </sheetView>
  </sheetViews>
  <sheetFormatPr defaultColWidth="9.5703125" defaultRowHeight="11.25" x14ac:dyDescent="0.2"/>
  <cols>
    <col min="1" max="1" width="10.85546875" style="69" bestFit="1" customWidth="1"/>
    <col min="2" max="2" width="11.5703125" style="69" bestFit="1" customWidth="1"/>
    <col min="3" max="3" width="8.42578125" style="111" bestFit="1" customWidth="1"/>
    <col min="4" max="4" width="11.7109375" style="69" bestFit="1" customWidth="1"/>
    <col min="5" max="5" width="13.5703125" style="69" bestFit="1" customWidth="1"/>
    <col min="6" max="6" width="9.42578125" style="69" customWidth="1"/>
    <col min="7" max="7" width="9.140625" style="69" bestFit="1" customWidth="1"/>
    <col min="8" max="8" width="8.5703125" style="69" bestFit="1" customWidth="1"/>
    <col min="9" max="9" width="9.5703125" style="69" customWidth="1"/>
    <col min="10" max="10" width="14.28515625" style="69" bestFit="1" customWidth="1"/>
    <col min="11" max="11" width="9.5703125" style="69" customWidth="1"/>
    <col min="12" max="12" width="14.28515625" style="69" bestFit="1" customWidth="1"/>
    <col min="13" max="14" width="13.42578125" style="69" bestFit="1" customWidth="1"/>
    <col min="15" max="15" width="14" style="69" bestFit="1" customWidth="1"/>
    <col min="16" max="16" width="13.42578125" style="69" bestFit="1" customWidth="1"/>
    <col min="17" max="16384" width="9.5703125" style="69"/>
  </cols>
  <sheetData>
    <row r="1" spans="1:17" s="68" customFormat="1" ht="10.5" x14ac:dyDescent="0.15">
      <c r="A1" s="348" t="s">
        <v>244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</row>
    <row r="2" spans="1:17" s="68" customFormat="1" ht="10.5" x14ac:dyDescent="0.15">
      <c r="A2" s="348" t="s">
        <v>226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</row>
    <row r="3" spans="1:17" s="68" customFormat="1" ht="10.5" x14ac:dyDescent="0.15">
      <c r="A3" s="348" t="s">
        <v>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</row>
    <row r="4" spans="1:17" s="29" customFormat="1" x14ac:dyDescent="0.2">
      <c r="C4" s="271"/>
    </row>
    <row r="5" spans="1:17" s="29" customFormat="1" x14ac:dyDescent="0.2">
      <c r="A5" s="348" t="s">
        <v>227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</row>
    <row r="6" spans="1:17" s="29" customFormat="1" x14ac:dyDescent="0.2">
      <c r="C6" s="271"/>
    </row>
    <row r="7" spans="1:17" s="29" customFormat="1" x14ac:dyDescent="0.2">
      <c r="A7" s="348" t="s">
        <v>228</v>
      </c>
      <c r="B7" s="348"/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</row>
    <row r="8" spans="1:17" x14ac:dyDescent="0.2">
      <c r="K8" s="153"/>
      <c r="O8" s="153"/>
      <c r="P8" s="153"/>
    </row>
    <row r="9" spans="1:17" s="70" customFormat="1" ht="10.5" x14ac:dyDescent="0.15">
      <c r="A9" s="310" t="s">
        <v>2</v>
      </c>
      <c r="B9" s="310" t="s">
        <v>3</v>
      </c>
      <c r="C9" s="310" t="s">
        <v>3</v>
      </c>
      <c r="D9" s="310" t="s">
        <v>3</v>
      </c>
      <c r="E9" s="310" t="s">
        <v>4</v>
      </c>
      <c r="F9" s="310" t="s">
        <v>100</v>
      </c>
      <c r="G9" s="310" t="s">
        <v>3</v>
      </c>
      <c r="H9" s="310" t="s">
        <v>5</v>
      </c>
      <c r="I9" s="310" t="s">
        <v>6</v>
      </c>
      <c r="J9" s="310" t="s">
        <v>3</v>
      </c>
      <c r="K9" s="311" t="s">
        <v>15</v>
      </c>
      <c r="L9" s="312"/>
      <c r="M9" s="312"/>
      <c r="N9" s="312"/>
      <c r="O9" s="313"/>
      <c r="P9" s="329"/>
    </row>
    <row r="10" spans="1:17" s="70" customFormat="1" ht="10.5" x14ac:dyDescent="0.15">
      <c r="A10" s="311" t="s">
        <v>8</v>
      </c>
      <c r="B10" s="311" t="s">
        <v>8</v>
      </c>
      <c r="C10" s="311" t="s">
        <v>9</v>
      </c>
      <c r="D10" s="311" t="s">
        <v>10</v>
      </c>
      <c r="E10" s="311" t="s">
        <v>11</v>
      </c>
      <c r="F10" s="311" t="s">
        <v>45</v>
      </c>
      <c r="G10" s="311" t="s">
        <v>12</v>
      </c>
      <c r="H10" s="311" t="s">
        <v>13</v>
      </c>
      <c r="I10" s="311"/>
      <c r="J10" s="311" t="s">
        <v>14</v>
      </c>
      <c r="K10" s="311"/>
      <c r="L10" s="314" t="s">
        <v>16</v>
      </c>
      <c r="M10" s="314"/>
      <c r="N10" s="314"/>
      <c r="O10" s="313"/>
      <c r="P10" s="329"/>
    </row>
    <row r="11" spans="1:17" s="70" customFormat="1" ht="10.5" x14ac:dyDescent="0.15">
      <c r="A11" s="311"/>
      <c r="B11" s="311"/>
      <c r="C11" s="311"/>
      <c r="D11" s="315"/>
      <c r="E11" s="311"/>
      <c r="F11" s="311"/>
      <c r="G11" s="311"/>
      <c r="H11" s="311" t="s">
        <v>17</v>
      </c>
      <c r="I11" s="311"/>
      <c r="J11" s="311" t="s">
        <v>18</v>
      </c>
      <c r="K11" s="311"/>
      <c r="L11" s="311" t="s">
        <v>19</v>
      </c>
      <c r="M11" s="311" t="s">
        <v>20</v>
      </c>
      <c r="N11" s="311" t="s">
        <v>21</v>
      </c>
      <c r="O11" s="349" t="s">
        <v>229</v>
      </c>
      <c r="P11" s="346"/>
      <c r="Q11" s="328"/>
    </row>
    <row r="12" spans="1:17" s="70" customFormat="1" ht="10.5" x14ac:dyDescent="0.15">
      <c r="A12" s="317"/>
      <c r="B12" s="317"/>
      <c r="C12" s="317"/>
      <c r="D12" s="317"/>
      <c r="E12" s="317"/>
      <c r="F12" s="317"/>
      <c r="G12" s="317"/>
      <c r="H12" s="317" t="s">
        <v>22</v>
      </c>
      <c r="I12" s="317"/>
      <c r="J12" s="317" t="s">
        <v>23</v>
      </c>
      <c r="K12" s="317"/>
      <c r="L12" s="318" t="s">
        <v>94</v>
      </c>
      <c r="M12" s="318" t="s">
        <v>94</v>
      </c>
      <c r="N12" s="318" t="s">
        <v>94</v>
      </c>
      <c r="O12" s="314" t="s">
        <v>32</v>
      </c>
      <c r="P12" s="330" t="s">
        <v>25</v>
      </c>
    </row>
    <row r="13" spans="1:17" hidden="1" x14ac:dyDescent="0.2">
      <c r="A13" s="75" t="s">
        <v>25</v>
      </c>
      <c r="B13" s="75" t="s">
        <v>26</v>
      </c>
      <c r="C13" s="75"/>
      <c r="D13" s="75" t="s">
        <v>27</v>
      </c>
      <c r="E13" s="77" t="s">
        <v>71</v>
      </c>
      <c r="F13" s="76"/>
      <c r="G13" s="78">
        <f>+Avista_1_Expired!D10</f>
        <v>2.2200000000000002</v>
      </c>
      <c r="H13" s="79">
        <f>(SUM(Avista_1_Expired!G10:G21)+SUM(Avista_1_Expired!H26:H37))/12</f>
        <v>1.7525000000000004</v>
      </c>
      <c r="I13" s="78">
        <f>-L13/J13</f>
        <v>-0.46602739726027415</v>
      </c>
      <c r="J13" s="80">
        <f>-Avista_1_Expired!F22</f>
        <v>-91250</v>
      </c>
      <c r="K13" s="80">
        <f>+J13/365</f>
        <v>-250</v>
      </c>
      <c r="L13" s="81">
        <f>-Avista_1_Expired!I22</f>
        <v>-42525.000000000015</v>
      </c>
      <c r="M13" s="82">
        <f>-Avista_1_Expired!J22</f>
        <v>-42525.000000000015</v>
      </c>
      <c r="N13" s="82">
        <f>-Avista_1_Expired!K22</f>
        <v>0</v>
      </c>
      <c r="O13" s="264"/>
      <c r="P13" s="85"/>
    </row>
    <row r="14" spans="1:17" hidden="1" x14ac:dyDescent="0.2">
      <c r="A14" s="83" t="s">
        <v>25</v>
      </c>
      <c r="B14" s="83" t="s">
        <v>28</v>
      </c>
      <c r="C14" s="83">
        <v>26125</v>
      </c>
      <c r="D14" s="83" t="s">
        <v>29</v>
      </c>
      <c r="E14" s="77" t="s">
        <v>71</v>
      </c>
      <c r="F14" s="84"/>
      <c r="G14" s="86">
        <f>+Avista_1_Expired!D26</f>
        <v>2.2200000000000002</v>
      </c>
      <c r="H14" s="87">
        <f>(SUM(Avista_1_Expired!G26:G37)+SUM(Avista_1_Expired!H26:H37))/12</f>
        <v>1.8191666666666668</v>
      </c>
      <c r="I14" s="88">
        <f>+L14/J14</f>
        <v>0.36873972602739735</v>
      </c>
      <c r="J14" s="89">
        <f>-Avista_1_Expired!F38</f>
        <v>91250</v>
      </c>
      <c r="K14" s="90">
        <f>+J14/365</f>
        <v>250</v>
      </c>
      <c r="L14" s="91">
        <f>-Avista_1_Expired!I38</f>
        <v>33647.500000000007</v>
      </c>
      <c r="M14" s="82">
        <f>-Avista_1_Expired!J38</f>
        <v>33647.500000000007</v>
      </c>
      <c r="N14" s="82">
        <f>-Avista_1_Expired!K38</f>
        <v>0</v>
      </c>
      <c r="O14" s="264"/>
      <c r="P14" s="85"/>
    </row>
    <row r="15" spans="1:17" hidden="1" x14ac:dyDescent="0.2">
      <c r="A15" s="83"/>
      <c r="B15" s="83"/>
      <c r="C15" s="83"/>
      <c r="D15" s="83"/>
      <c r="E15" s="84"/>
      <c r="F15" s="84"/>
      <c r="G15" s="86"/>
      <c r="H15" s="79"/>
      <c r="I15" s="86">
        <f>+I13+I14</f>
        <v>-9.7287671232876793E-2</v>
      </c>
      <c r="J15" s="92">
        <f>SUM(J13:J14)</f>
        <v>0</v>
      </c>
      <c r="K15" s="92">
        <f>SUM(K13:K14)</f>
        <v>0</v>
      </c>
      <c r="L15" s="93">
        <f>SUM(L13:L14)</f>
        <v>-8877.5000000000073</v>
      </c>
      <c r="M15" s="93">
        <f>SUM(M13:M14)</f>
        <v>-8877.5000000000073</v>
      </c>
      <c r="N15" s="93">
        <f>SUM(N13:N14)</f>
        <v>0</v>
      </c>
      <c r="O15" s="264"/>
      <c r="P15" s="85"/>
    </row>
    <row r="16" spans="1:17" ht="9.9499999999999993" hidden="1" customHeight="1" x14ac:dyDescent="0.2">
      <c r="A16" s="83"/>
      <c r="B16" s="83"/>
      <c r="C16" s="83"/>
      <c r="D16" s="83"/>
      <c r="E16" s="84"/>
      <c r="F16" s="84"/>
      <c r="G16" s="86"/>
      <c r="H16" s="79"/>
      <c r="I16" s="86"/>
      <c r="J16" s="90"/>
      <c r="K16" s="90"/>
      <c r="L16" s="91"/>
      <c r="M16" s="82"/>
      <c r="N16" s="82"/>
      <c r="O16" s="264"/>
      <c r="P16" s="85"/>
    </row>
    <row r="17" spans="1:16" hidden="1" x14ac:dyDescent="0.2">
      <c r="A17" s="83" t="s">
        <v>25</v>
      </c>
      <c r="B17" s="83" t="s">
        <v>30</v>
      </c>
      <c r="C17" s="83"/>
      <c r="D17" s="83" t="s">
        <v>27</v>
      </c>
      <c r="E17" s="77" t="s">
        <v>77</v>
      </c>
      <c r="F17" s="84"/>
      <c r="G17" s="86">
        <f>+Sempra_1_Expired!D9</f>
        <v>1.9450000000000001</v>
      </c>
      <c r="H17" s="87">
        <f>(SUM(Sempra_1_Expired!G9:H20)/12)</f>
        <v>2.3858333333333333</v>
      </c>
      <c r="I17" s="86">
        <f>-L17/J17</f>
        <v>0.43923497267759554</v>
      </c>
      <c r="J17" s="89">
        <f>-Sempra_1_Expired!F21</f>
        <v>-91500</v>
      </c>
      <c r="K17" s="90">
        <f>+J17/366</f>
        <v>-250</v>
      </c>
      <c r="L17" s="91">
        <f>-Sempra_1_Expired!I21</f>
        <v>40189.999999999993</v>
      </c>
      <c r="M17" s="82">
        <f>-Sempra_1_Expired!J21</f>
        <v>40189.999999999993</v>
      </c>
      <c r="N17" s="82">
        <f>-Sempra_1_Expired!K21</f>
        <v>0</v>
      </c>
      <c r="O17" s="264"/>
      <c r="P17" s="85"/>
    </row>
    <row r="18" spans="1:16" hidden="1" x14ac:dyDescent="0.2">
      <c r="A18" s="83" t="s">
        <v>25</v>
      </c>
      <c r="B18" s="83" t="s">
        <v>28</v>
      </c>
      <c r="C18" s="83">
        <v>26125</v>
      </c>
      <c r="D18" s="83" t="s">
        <v>29</v>
      </c>
      <c r="E18" s="77" t="s">
        <v>77</v>
      </c>
      <c r="F18" s="84"/>
      <c r="G18" s="86">
        <f>+Sempra_1_Expired!D25</f>
        <v>1.9450000000000001</v>
      </c>
      <c r="H18" s="79">
        <f>(SUM(Sempra_1_Expired!G25:H36)/12)</f>
        <v>2.4591666666666661</v>
      </c>
      <c r="I18" s="88">
        <f>+L18/J18</f>
        <v>-0.51554644808743155</v>
      </c>
      <c r="J18" s="90">
        <f>-Sempra_1_Expired!F37</f>
        <v>91500</v>
      </c>
      <c r="K18" s="90">
        <f>+J18/366</f>
        <v>250</v>
      </c>
      <c r="L18" s="91">
        <f>-Sempra_1_Expired!I37</f>
        <v>-47172.499999999985</v>
      </c>
      <c r="M18" s="82">
        <f>-Sempra_1_Expired!J37</f>
        <v>-47172.499999999985</v>
      </c>
      <c r="N18" s="82">
        <f>-Sempra_1_Expired!K37</f>
        <v>0</v>
      </c>
      <c r="O18" s="264"/>
      <c r="P18" s="85"/>
    </row>
    <row r="19" spans="1:16" hidden="1" x14ac:dyDescent="0.2">
      <c r="A19" s="83"/>
      <c r="B19" s="83"/>
      <c r="C19" s="83"/>
      <c r="D19" s="84"/>
      <c r="E19" s="84"/>
      <c r="F19" s="84"/>
      <c r="G19" s="84"/>
      <c r="H19" s="94"/>
      <c r="I19" s="86">
        <f>+I17+I18</f>
        <v>-7.6311475409836016E-2</v>
      </c>
      <c r="J19" s="95">
        <f>+J13+J14</f>
        <v>0</v>
      </c>
      <c r="K19" s="95">
        <f>+K13+K14</f>
        <v>0</v>
      </c>
      <c r="L19" s="96">
        <f>+L17+L18</f>
        <v>-6982.4999999999927</v>
      </c>
      <c r="M19" s="96">
        <f>+M17+M18</f>
        <v>-6982.4999999999927</v>
      </c>
      <c r="N19" s="96">
        <f>+N17+N18</f>
        <v>0</v>
      </c>
      <c r="O19" s="264"/>
      <c r="P19" s="85"/>
    </row>
    <row r="20" spans="1:16" ht="9.9499999999999993" hidden="1" customHeight="1" x14ac:dyDescent="0.2">
      <c r="A20" s="83"/>
      <c r="B20" s="84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5"/>
      <c r="N20" s="85"/>
      <c r="O20" s="264"/>
      <c r="P20" s="85"/>
    </row>
    <row r="21" spans="1:16" hidden="1" x14ac:dyDescent="0.2">
      <c r="A21" s="83" t="s">
        <v>25</v>
      </c>
      <c r="B21" s="83" t="s">
        <v>26</v>
      </c>
      <c r="C21" s="83"/>
      <c r="D21" s="83" t="s">
        <v>27</v>
      </c>
      <c r="E21" s="77" t="s">
        <v>72</v>
      </c>
      <c r="F21" s="84"/>
      <c r="G21" s="79">
        <f>+Avista_2_Expired!D9</f>
        <v>2.0049999999999999</v>
      </c>
      <c r="H21" s="79">
        <f>(SUM(Avista_2_Expired!G9:G23)+SUM(Avista_2_Expired!H9:H23))/15</f>
        <v>2.0893333333333342</v>
      </c>
      <c r="I21" s="86">
        <f>-L21/J21</f>
        <v>8.5262582056892869E-2</v>
      </c>
      <c r="J21" s="90">
        <f>-Avista_2_Expired!F24</f>
        <v>1142500</v>
      </c>
      <c r="K21" s="90">
        <f>+J21/457</f>
        <v>2500</v>
      </c>
      <c r="L21" s="91">
        <f>-Avista_2_Expired!I24</f>
        <v>-97412.500000000102</v>
      </c>
      <c r="M21" s="82">
        <f>-Avista_2_Expired!J24</f>
        <v>-97412.500000000102</v>
      </c>
      <c r="N21" s="82">
        <f>-Avista_2_Expired!K24</f>
        <v>0</v>
      </c>
      <c r="O21" s="264"/>
      <c r="P21" s="85"/>
    </row>
    <row r="22" spans="1:16" hidden="1" x14ac:dyDescent="0.2">
      <c r="A22" s="83" t="s">
        <v>25</v>
      </c>
      <c r="B22" s="83" t="s">
        <v>76</v>
      </c>
      <c r="C22" s="83"/>
      <c r="D22" s="83" t="s">
        <v>29</v>
      </c>
      <c r="E22" s="77" t="s">
        <v>72</v>
      </c>
      <c r="F22" s="84"/>
      <c r="G22" s="79">
        <f>+Avista_2_Expired!D28</f>
        <v>2.0049999999999999</v>
      </c>
      <c r="H22" s="79">
        <f>(SUM(Avista_2_Expired!G28:G42)+SUM(Avista_2_Expired!H28:H42))/15</f>
        <v>2.036</v>
      </c>
      <c r="I22" s="88">
        <f>+L22/J22</f>
        <v>-3.2899343544857858E-2</v>
      </c>
      <c r="J22" s="90">
        <f>-Avista_2_Expired!F43</f>
        <v>-1142500</v>
      </c>
      <c r="K22" s="90">
        <f>+J22/457</f>
        <v>-2500</v>
      </c>
      <c r="L22" s="91">
        <f>-Avista_2_Expired!I43</f>
        <v>37587.500000000102</v>
      </c>
      <c r="M22" s="82">
        <f>-Avista_2_Expired!J43</f>
        <v>37587.500000000102</v>
      </c>
      <c r="N22" s="82">
        <f>-Avista_2_Expired!K43</f>
        <v>0</v>
      </c>
      <c r="O22" s="264"/>
      <c r="P22" s="85"/>
    </row>
    <row r="23" spans="1:16" hidden="1" x14ac:dyDescent="0.2">
      <c r="A23" s="83"/>
      <c r="B23" s="84"/>
      <c r="C23" s="83"/>
      <c r="D23" s="84"/>
      <c r="E23" s="84"/>
      <c r="F23" s="84"/>
      <c r="G23" s="84"/>
      <c r="H23" s="84"/>
      <c r="I23" s="86">
        <f>+I21+I22</f>
        <v>5.2363238512035011E-2</v>
      </c>
      <c r="J23" s="95">
        <f>+J22+J21</f>
        <v>0</v>
      </c>
      <c r="K23" s="95">
        <f>+K22+K21</f>
        <v>0</v>
      </c>
      <c r="L23" s="96">
        <f>+L22+L21</f>
        <v>-59825</v>
      </c>
      <c r="M23" s="96">
        <f>+M22+M21</f>
        <v>-59825</v>
      </c>
      <c r="N23" s="96">
        <f>+N22+N21</f>
        <v>0</v>
      </c>
      <c r="O23" s="264"/>
      <c r="P23" s="85"/>
    </row>
    <row r="24" spans="1:16" ht="9.9499999999999993" hidden="1" customHeight="1" x14ac:dyDescent="0.2">
      <c r="A24" s="83"/>
      <c r="B24" s="84"/>
      <c r="C24" s="83"/>
      <c r="D24" s="84"/>
      <c r="E24" s="84"/>
      <c r="F24" s="84"/>
      <c r="G24" s="84"/>
      <c r="H24" s="84"/>
      <c r="I24" s="84"/>
      <c r="J24" s="84"/>
      <c r="K24" s="84"/>
      <c r="L24" s="84"/>
      <c r="M24" s="85"/>
      <c r="N24" s="85"/>
      <c r="O24" s="264"/>
      <c r="P24" s="85"/>
    </row>
    <row r="25" spans="1:16" hidden="1" x14ac:dyDescent="0.2">
      <c r="A25" s="83" t="s">
        <v>25</v>
      </c>
      <c r="B25" s="83" t="s">
        <v>30</v>
      </c>
      <c r="C25" s="83"/>
      <c r="D25" s="83" t="s">
        <v>27</v>
      </c>
      <c r="E25" s="77" t="s">
        <v>72</v>
      </c>
      <c r="F25" s="84"/>
      <c r="G25" s="79">
        <f>+Sempra_2_Expired!D9</f>
        <v>2.1</v>
      </c>
      <c r="H25" s="79">
        <f>(SUM(Sempra_2_Expired!G9:G23)+SUM(Sempra_2_Expired!H9:H23))/15</f>
        <v>2.0893333333333342</v>
      </c>
      <c r="I25" s="86">
        <f>-L25/J25</f>
        <v>-9.7374179431073109E-3</v>
      </c>
      <c r="J25" s="90">
        <f>-Sempra_2_Expired!F24</f>
        <v>1142500</v>
      </c>
      <c r="K25" s="90">
        <f>+J25/457</f>
        <v>2500</v>
      </c>
      <c r="L25" s="91">
        <f>-Sempra_2_Expired!I24</f>
        <v>11125.000000000104</v>
      </c>
      <c r="M25" s="82">
        <f>-Sempra_2_Expired!J24</f>
        <v>11125.000000000104</v>
      </c>
      <c r="N25" s="82">
        <f>-Sempra_2_Expired!K24</f>
        <v>0</v>
      </c>
      <c r="O25" s="264"/>
      <c r="P25" s="85"/>
    </row>
    <row r="26" spans="1:16" hidden="1" x14ac:dyDescent="0.2">
      <c r="A26" s="83" t="s">
        <v>25</v>
      </c>
      <c r="B26" s="83" t="s">
        <v>76</v>
      </c>
      <c r="C26" s="83"/>
      <c r="D26" s="83" t="s">
        <v>29</v>
      </c>
      <c r="E26" s="77" t="s">
        <v>72</v>
      </c>
      <c r="F26" s="84"/>
      <c r="G26" s="79">
        <f>+Sempra_2_Expired!D28</f>
        <v>2.1</v>
      </c>
      <c r="H26" s="79">
        <f>(SUM(Sempra_2_Expired!G28:G42)+SUM(Sempra_2_Expired!H28:H42))/15</f>
        <v>2.036</v>
      </c>
      <c r="I26" s="88">
        <f>+L26/J26</f>
        <v>6.2100656455142372E-2</v>
      </c>
      <c r="J26" s="97">
        <f>-Sempra_2_Expired!F43</f>
        <v>-1142500</v>
      </c>
      <c r="K26" s="97">
        <f>+J26/457</f>
        <v>-2500</v>
      </c>
      <c r="L26" s="98">
        <f>-Sempra_2_Expired!I43</f>
        <v>-70950.00000000016</v>
      </c>
      <c r="M26" s="99">
        <f>-Sempra_2_Expired!J43</f>
        <v>-70950.00000000016</v>
      </c>
      <c r="N26" s="99">
        <f>-Sempra_2_Expired!K43</f>
        <v>0</v>
      </c>
      <c r="O26" s="264"/>
      <c r="P26" s="85"/>
    </row>
    <row r="27" spans="1:16" hidden="1" x14ac:dyDescent="0.2">
      <c r="A27" s="83"/>
      <c r="B27" s="83"/>
      <c r="C27" s="83"/>
      <c r="D27" s="83"/>
      <c r="E27" s="84"/>
      <c r="F27" s="84"/>
      <c r="G27" s="79"/>
      <c r="H27" s="79"/>
      <c r="I27" s="86">
        <f>+I25+I26</f>
        <v>5.236323851203506E-2</v>
      </c>
      <c r="J27" s="90">
        <f>+J26+J25</f>
        <v>0</v>
      </c>
      <c r="K27" s="90">
        <f>+K26+K25</f>
        <v>0</v>
      </c>
      <c r="L27" s="100">
        <f>+L26+L25</f>
        <v>-59825.000000000058</v>
      </c>
      <c r="M27" s="100">
        <f>+M26+M25</f>
        <v>-59825.000000000058</v>
      </c>
      <c r="N27" s="100">
        <f>+N26+N25</f>
        <v>0</v>
      </c>
      <c r="O27" s="264"/>
      <c r="P27" s="85"/>
    </row>
    <row r="28" spans="1:16" ht="9.9499999999999993" hidden="1" customHeight="1" x14ac:dyDescent="0.2">
      <c r="A28" s="83"/>
      <c r="B28" s="83"/>
      <c r="C28" s="83"/>
      <c r="D28" s="83"/>
      <c r="E28" s="84"/>
      <c r="F28" s="84"/>
      <c r="G28" s="79"/>
      <c r="H28" s="79"/>
      <c r="I28" s="79"/>
      <c r="J28" s="90"/>
      <c r="K28" s="90"/>
      <c r="L28" s="91"/>
      <c r="M28" s="82"/>
      <c r="N28" s="82"/>
      <c r="O28" s="264"/>
      <c r="P28" s="85"/>
    </row>
    <row r="29" spans="1:16" hidden="1" x14ac:dyDescent="0.2">
      <c r="A29" s="83" t="s">
        <v>25</v>
      </c>
      <c r="B29" s="83" t="s">
        <v>30</v>
      </c>
      <c r="C29" s="83"/>
      <c r="D29" s="83" t="s">
        <v>27</v>
      </c>
      <c r="E29" s="77" t="s">
        <v>73</v>
      </c>
      <c r="F29" s="84"/>
      <c r="G29" s="79">
        <v>2.0099999999999998</v>
      </c>
      <c r="H29" s="79">
        <f>(SUM(Sempra_2.1_Expired!G9:G16)+SUM(Sempra_2.1_Expired!H9:H19))/8</f>
        <v>2.3775000000000004</v>
      </c>
      <c r="I29" s="86">
        <f>-L29/J29</f>
        <v>0.36506122448979617</v>
      </c>
      <c r="J29" s="90">
        <f>-Sempra_2.1_Expired!F17</f>
        <v>2450000</v>
      </c>
      <c r="K29" s="90">
        <f>+J29/245</f>
        <v>10000</v>
      </c>
      <c r="L29" s="91">
        <f>-Sempra_2.1_Expired!I17</f>
        <v>-894400.00000000058</v>
      </c>
      <c r="M29" s="82">
        <f>-Sempra_2.1_Expired!J17</f>
        <v>-894400.00000000058</v>
      </c>
      <c r="N29" s="82">
        <f>-Sempra_2.1_Expired!K17</f>
        <v>0</v>
      </c>
      <c r="O29" s="264"/>
      <c r="P29" s="85"/>
    </row>
    <row r="30" spans="1:16" hidden="1" x14ac:dyDescent="0.2">
      <c r="A30" s="83" t="s">
        <v>25</v>
      </c>
      <c r="B30" s="83" t="s">
        <v>76</v>
      </c>
      <c r="C30" s="83"/>
      <c r="D30" s="83" t="s">
        <v>29</v>
      </c>
      <c r="E30" s="77" t="s">
        <v>73</v>
      </c>
      <c r="F30" s="84"/>
      <c r="G30" s="79">
        <v>2.0099999999999998</v>
      </c>
      <c r="H30" s="79">
        <f>(SUM(Sempra_2.1_Expired!G21:G28)+SUM(Sempra_2.1_Expired!H21:H28))/8</f>
        <v>2.2675000000000001</v>
      </c>
      <c r="I30" s="88">
        <f>+L30/J30</f>
        <v>-0.25832653061224503</v>
      </c>
      <c r="J30" s="90">
        <f>-Sempra_2.1_Expired!F29</f>
        <v>-2450000</v>
      </c>
      <c r="K30" s="90">
        <f>+J30/245</f>
        <v>-10000</v>
      </c>
      <c r="L30" s="91">
        <f>-Sempra_2.1_Expired!I29</f>
        <v>632900.00000000035</v>
      </c>
      <c r="M30" s="82">
        <f>-Sempra_2.1_Expired!J29</f>
        <v>632900.00000000035</v>
      </c>
      <c r="N30" s="82">
        <f>-Sempra_2.1_Expired!K29</f>
        <v>0</v>
      </c>
      <c r="O30" s="264"/>
      <c r="P30" s="85"/>
    </row>
    <row r="31" spans="1:16" hidden="1" x14ac:dyDescent="0.2">
      <c r="A31" s="83"/>
      <c r="B31" s="84"/>
      <c r="C31" s="83"/>
      <c r="D31" s="84"/>
      <c r="E31" s="84"/>
      <c r="F31" s="84"/>
      <c r="G31" s="84"/>
      <c r="H31" s="84"/>
      <c r="I31" s="86">
        <f t="shared" ref="I31:N31" si="0">+I29+I30</f>
        <v>0.10673469387755113</v>
      </c>
      <c r="J31" s="95">
        <f t="shared" si="0"/>
        <v>0</v>
      </c>
      <c r="K31" s="95">
        <f t="shared" si="0"/>
        <v>0</v>
      </c>
      <c r="L31" s="96">
        <f t="shared" si="0"/>
        <v>-261500.00000000023</v>
      </c>
      <c r="M31" s="96">
        <f t="shared" si="0"/>
        <v>-261500.00000000023</v>
      </c>
      <c r="N31" s="96">
        <f t="shared" si="0"/>
        <v>0</v>
      </c>
      <c r="O31" s="264"/>
      <c r="P31" s="85"/>
    </row>
    <row r="32" spans="1:16" ht="9.9499999999999993" hidden="1" customHeight="1" x14ac:dyDescent="0.2">
      <c r="A32" s="83"/>
      <c r="B32" s="84"/>
      <c r="C32" s="83"/>
      <c r="D32" s="84"/>
      <c r="E32" s="84"/>
      <c r="F32" s="84"/>
      <c r="G32" s="84"/>
      <c r="H32" s="84"/>
      <c r="I32" s="84"/>
      <c r="J32" s="94"/>
      <c r="K32" s="94"/>
      <c r="L32" s="100"/>
      <c r="M32" s="101"/>
      <c r="N32" s="101"/>
      <c r="O32" s="264"/>
      <c r="P32" s="85"/>
    </row>
    <row r="33" spans="1:16" hidden="1" x14ac:dyDescent="0.2">
      <c r="A33" s="83" t="s">
        <v>25</v>
      </c>
      <c r="B33" s="83" t="s">
        <v>31</v>
      </c>
      <c r="C33" s="83"/>
      <c r="D33" s="83" t="s">
        <v>90</v>
      </c>
      <c r="E33" s="77" t="s">
        <v>97</v>
      </c>
      <c r="F33" s="83"/>
      <c r="G33" s="79">
        <v>2.3650000000000002</v>
      </c>
      <c r="H33" s="79">
        <f>(SUM('RMTC_2-expired'!G9:G20)+SUM('RMTC_2-expired'!H9:H20))/12</f>
        <v>3.7774999999999999</v>
      </c>
      <c r="I33" s="86">
        <f>-L33/J33</f>
        <v>1.4177868852459015</v>
      </c>
      <c r="J33" s="102">
        <f>-'RMTC_2-expired'!F22</f>
        <v>5490000</v>
      </c>
      <c r="K33" s="102">
        <f>+J33/366</f>
        <v>15000</v>
      </c>
      <c r="L33" s="91">
        <f>-'RMTC_2-expired'!I22</f>
        <v>-7783649.9999999991</v>
      </c>
      <c r="M33" s="82">
        <f>-'RMTC_2-expired'!J22</f>
        <v>-7783649.9999999991</v>
      </c>
      <c r="N33" s="82">
        <f>-'RMTC_2-expired'!K22</f>
        <v>0</v>
      </c>
      <c r="O33" s="264"/>
      <c r="P33" s="85"/>
    </row>
    <row r="34" spans="1:16" hidden="1" x14ac:dyDescent="0.2">
      <c r="A34" s="83" t="s">
        <v>25</v>
      </c>
      <c r="B34" s="83" t="s">
        <v>76</v>
      </c>
      <c r="C34" s="83"/>
      <c r="D34" s="83" t="s">
        <v>91</v>
      </c>
      <c r="E34" s="77" t="s">
        <v>97</v>
      </c>
      <c r="F34" s="83"/>
      <c r="G34" s="79">
        <v>2.3650000000000002</v>
      </c>
      <c r="H34" s="79">
        <f>(SUM('RMTC_2-expired'!G26:G37)+SUM('RMTC_2-expired'!H26:H37))/12</f>
        <v>3.7774999999999999</v>
      </c>
      <c r="I34" s="88">
        <f>+L34/J34</f>
        <v>-1.4177868852459015</v>
      </c>
      <c r="J34" s="103">
        <f>-'RMTC_2-expired'!F39</f>
        <v>-5490000</v>
      </c>
      <c r="K34" s="103">
        <f>+J34/366</f>
        <v>-15000</v>
      </c>
      <c r="L34" s="98">
        <f>-'RMTC_2-expired'!I39</f>
        <v>7783649.9999999991</v>
      </c>
      <c r="M34" s="99">
        <f>-'RMTC_2-expired'!J39</f>
        <v>7783649.9999999991</v>
      </c>
      <c r="N34" s="99">
        <f>-'RMTC_2-expired'!K39</f>
        <v>0</v>
      </c>
      <c r="O34" s="264"/>
      <c r="P34" s="85"/>
    </row>
    <row r="35" spans="1:16" hidden="1" x14ac:dyDescent="0.2">
      <c r="A35" s="83"/>
      <c r="B35" s="84"/>
      <c r="C35" s="83"/>
      <c r="D35" s="84"/>
      <c r="E35" s="84"/>
      <c r="F35" s="83"/>
      <c r="G35" s="84"/>
      <c r="H35" s="84"/>
      <c r="I35" s="214">
        <f t="shared" ref="I35:N35" si="1">+I33+I34</f>
        <v>0</v>
      </c>
      <c r="J35" s="94">
        <f t="shared" si="1"/>
        <v>0</v>
      </c>
      <c r="K35" s="94">
        <f t="shared" si="1"/>
        <v>0</v>
      </c>
      <c r="L35" s="100">
        <f t="shared" si="1"/>
        <v>0</v>
      </c>
      <c r="M35" s="100">
        <f t="shared" si="1"/>
        <v>0</v>
      </c>
      <c r="N35" s="100">
        <f t="shared" si="1"/>
        <v>0</v>
      </c>
      <c r="O35" s="264"/>
      <c r="P35" s="85"/>
    </row>
    <row r="36" spans="1:16" ht="9.9499999999999993" customHeight="1" x14ac:dyDescent="0.2">
      <c r="A36" s="83"/>
      <c r="B36" s="84"/>
      <c r="C36" s="83"/>
      <c r="D36" s="84"/>
      <c r="E36" s="84"/>
      <c r="F36" s="83"/>
      <c r="G36" s="84"/>
      <c r="H36" s="84"/>
      <c r="I36" s="84"/>
      <c r="J36" s="84"/>
      <c r="K36" s="84"/>
      <c r="L36" s="84"/>
      <c r="M36" s="84"/>
      <c r="N36" s="84"/>
      <c r="O36" s="84"/>
      <c r="P36" s="331"/>
    </row>
    <row r="37" spans="1:16" hidden="1" x14ac:dyDescent="0.2">
      <c r="A37" s="83" t="s">
        <v>32</v>
      </c>
      <c r="B37" s="83" t="s">
        <v>33</v>
      </c>
      <c r="C37" s="83">
        <v>25834</v>
      </c>
      <c r="D37" s="83" t="s">
        <v>29</v>
      </c>
      <c r="E37" s="77" t="s">
        <v>75</v>
      </c>
      <c r="F37" s="83"/>
      <c r="G37" s="79">
        <v>2.3199999999999998</v>
      </c>
      <c r="H37" s="79">
        <f>SUM(Elpaso_6!G9:H13)/5</f>
        <v>4.47</v>
      </c>
      <c r="I37" s="86">
        <f>L37/J37</f>
        <v>-1.1719999999999997</v>
      </c>
      <c r="J37" s="90">
        <f>-Elpaso_6!F15</f>
        <v>15000000</v>
      </c>
      <c r="K37" s="104">
        <f>+J37/153</f>
        <v>98039.215686274503</v>
      </c>
      <c r="L37" s="91">
        <f>-Elpaso_6!I15</f>
        <v>-17579999.999999996</v>
      </c>
      <c r="M37" s="105">
        <f>-Elpaso_6!J15</f>
        <v>0</v>
      </c>
      <c r="N37" s="91">
        <f>-Elpaso_6!K15</f>
        <v>-17579999.999999996</v>
      </c>
      <c r="O37" s="84"/>
      <c r="P37" s="85"/>
    </row>
    <row r="38" spans="1:16" hidden="1" x14ac:dyDescent="0.2">
      <c r="A38" s="83" t="s">
        <v>32</v>
      </c>
      <c r="B38" s="83" t="s">
        <v>33</v>
      </c>
      <c r="C38" s="83"/>
      <c r="D38" s="83" t="s">
        <v>27</v>
      </c>
      <c r="E38" s="77" t="s">
        <v>75</v>
      </c>
      <c r="F38" s="83"/>
      <c r="G38" s="79">
        <v>2.3199999999999998</v>
      </c>
      <c r="H38" s="79">
        <f>SUM(Elpaso_6!G9:H13)/5</f>
        <v>4.47</v>
      </c>
      <c r="I38" s="112">
        <f>L38/J38</f>
        <v>1.1719999999999997</v>
      </c>
      <c r="J38" s="97">
        <f>-Elpaso_6!F23</f>
        <v>15000000</v>
      </c>
      <c r="K38" s="113">
        <f>+J38/153</f>
        <v>98039.215686274503</v>
      </c>
      <c r="L38" s="98">
        <f>Elpaso_6!I15</f>
        <v>17579999.999999996</v>
      </c>
      <c r="M38" s="114">
        <f>-Elpaso_6!J26</f>
        <v>0</v>
      </c>
      <c r="N38" s="98">
        <f>Elpaso_6!K15</f>
        <v>17579999.999999996</v>
      </c>
      <c r="O38" s="84"/>
      <c r="P38" s="85"/>
    </row>
    <row r="39" spans="1:16" hidden="1" x14ac:dyDescent="0.2">
      <c r="A39" s="83"/>
      <c r="B39" s="83"/>
      <c r="C39" s="83"/>
      <c r="D39" s="83"/>
      <c r="E39" s="77"/>
      <c r="F39" s="83"/>
      <c r="G39" s="79"/>
      <c r="H39" s="79"/>
      <c r="I39" s="86">
        <f>+I37-I38</f>
        <v>-2.3439999999999994</v>
      </c>
      <c r="J39" s="90">
        <f>+J38+J37</f>
        <v>30000000</v>
      </c>
      <c r="K39" s="90">
        <f>+K38+K37</f>
        <v>196078.43137254901</v>
      </c>
      <c r="L39" s="115">
        <f>+L38+L37</f>
        <v>0</v>
      </c>
      <c r="M39" s="116">
        <f>+M38+M37</f>
        <v>0</v>
      </c>
      <c r="N39" s="115">
        <f>+N38+N37</f>
        <v>0</v>
      </c>
      <c r="O39" s="84"/>
      <c r="P39" s="85"/>
    </row>
    <row r="40" spans="1:16" hidden="1" x14ac:dyDescent="0.2">
      <c r="A40" s="83"/>
      <c r="B40" s="83"/>
      <c r="C40" s="83"/>
      <c r="D40" s="83"/>
      <c r="E40" s="77"/>
      <c r="F40" s="83"/>
      <c r="G40" s="79"/>
      <c r="H40" s="79"/>
      <c r="I40" s="86"/>
      <c r="J40" s="90"/>
      <c r="K40" s="121"/>
      <c r="L40" s="115"/>
      <c r="M40" s="116"/>
      <c r="N40" s="115"/>
      <c r="O40" s="84"/>
      <c r="P40" s="85"/>
    </row>
    <row r="41" spans="1:16" hidden="1" x14ac:dyDescent="0.2">
      <c r="A41" s="83" t="s">
        <v>32</v>
      </c>
      <c r="B41" s="83" t="s">
        <v>78</v>
      </c>
      <c r="C41" s="83">
        <v>105706</v>
      </c>
      <c r="D41" s="83" t="s">
        <v>29</v>
      </c>
      <c r="E41" s="77" t="s">
        <v>81</v>
      </c>
      <c r="F41" s="77"/>
      <c r="G41" s="79"/>
      <c r="H41" s="86">
        <f>SUM(MEC_8_Expired!H9:H14)/6</f>
        <v>0</v>
      </c>
      <c r="I41" s="86">
        <f>L41/J41</f>
        <v>2.5582608695652174</v>
      </c>
      <c r="J41" s="90">
        <f>-MEC_8_Expired!F15</f>
        <v>-230000</v>
      </c>
      <c r="K41" s="121">
        <f>+J41/182</f>
        <v>-1263.7362637362637</v>
      </c>
      <c r="L41" s="91">
        <f>-MEC_8_Expired!I15</f>
        <v>-588400</v>
      </c>
      <c r="M41" s="105">
        <f>-MEC_8_Expired!J15</f>
        <v>-588400</v>
      </c>
      <c r="N41" s="91">
        <f>-MEC_8_Expired!K15</f>
        <v>0</v>
      </c>
      <c r="O41" s="84"/>
      <c r="P41" s="85"/>
    </row>
    <row r="42" spans="1:16" hidden="1" x14ac:dyDescent="0.2">
      <c r="A42" s="83" t="s">
        <v>32</v>
      </c>
      <c r="B42" s="83" t="s">
        <v>78</v>
      </c>
      <c r="C42" s="83">
        <v>105706</v>
      </c>
      <c r="D42" s="83" t="s">
        <v>29</v>
      </c>
      <c r="E42" s="77" t="s">
        <v>81</v>
      </c>
      <c r="F42" s="77"/>
      <c r="G42" s="79"/>
      <c r="H42" s="79">
        <f>SUM(MEC_8_Expired!H20:H25)/6</f>
        <v>0</v>
      </c>
      <c r="I42" s="112">
        <f>L42/J42</f>
        <v>2.6397391304347826</v>
      </c>
      <c r="J42" s="97">
        <f>-MEC_8_Expired!F26</f>
        <v>230000</v>
      </c>
      <c r="K42" s="97">
        <f>+J42/182</f>
        <v>1263.7362637362637</v>
      </c>
      <c r="L42" s="98">
        <f>-MEC_8_Expired!I26</f>
        <v>607140</v>
      </c>
      <c r="M42" s="114">
        <f>-MEC_8_Expired!J26</f>
        <v>607140</v>
      </c>
      <c r="N42" s="98">
        <f>-MEC_8_Expired!K26</f>
        <v>0</v>
      </c>
      <c r="O42" s="84"/>
      <c r="P42" s="85"/>
    </row>
    <row r="43" spans="1:16" hidden="1" x14ac:dyDescent="0.2">
      <c r="A43" s="83"/>
      <c r="B43" s="83"/>
      <c r="C43" s="83"/>
      <c r="D43" s="83"/>
      <c r="E43" s="77"/>
      <c r="F43" s="77"/>
      <c r="G43" s="79"/>
      <c r="H43" s="79"/>
      <c r="I43" s="86">
        <f>+I41-I42</f>
        <v>-8.1478260869565222E-2</v>
      </c>
      <c r="J43" s="90">
        <f>+J42+J41</f>
        <v>0</v>
      </c>
      <c r="K43" s="90">
        <f>+K42+K41</f>
        <v>0</v>
      </c>
      <c r="L43" s="91">
        <f>+L42+L41</f>
        <v>18740</v>
      </c>
      <c r="M43" s="105">
        <f>+M42+M41</f>
        <v>18740</v>
      </c>
      <c r="N43" s="91">
        <f>+N42+N41</f>
        <v>0</v>
      </c>
      <c r="O43" s="84"/>
      <c r="P43" s="85"/>
    </row>
    <row r="44" spans="1:16" hidden="1" x14ac:dyDescent="0.2">
      <c r="A44" s="83"/>
      <c r="B44" s="83"/>
      <c r="C44" s="83"/>
      <c r="D44" s="83"/>
      <c r="E44" s="77"/>
      <c r="F44" s="77"/>
      <c r="G44" s="79"/>
      <c r="H44" s="79"/>
      <c r="I44" s="86"/>
      <c r="J44" s="90"/>
      <c r="K44" s="121"/>
      <c r="L44" s="91"/>
      <c r="M44" s="105"/>
      <c r="N44" s="91"/>
      <c r="O44" s="84"/>
      <c r="P44" s="85"/>
    </row>
    <row r="45" spans="1:16" x14ac:dyDescent="0.2">
      <c r="A45" s="83" t="s">
        <v>25</v>
      </c>
      <c r="B45" s="83" t="s">
        <v>85</v>
      </c>
      <c r="C45" s="83" t="s">
        <v>156</v>
      </c>
      <c r="D45" s="83" t="s">
        <v>90</v>
      </c>
      <c r="E45" s="77" t="s">
        <v>74</v>
      </c>
      <c r="F45" s="155">
        <v>36664</v>
      </c>
      <c r="G45" s="79">
        <v>3.23</v>
      </c>
      <c r="H45" s="79">
        <f>(SUM(ENA_9!G9:G20)+SUM(ENA_9!H9:H20))/12</f>
        <v>5.8497500000000011</v>
      </c>
      <c r="I45" s="86">
        <f>-L45/J45</f>
        <v>2.6195534246575343</v>
      </c>
      <c r="J45" s="102">
        <f>-ENA_9!F22</f>
        <v>1825000</v>
      </c>
      <c r="K45" s="102">
        <f>+J45/365</f>
        <v>5000</v>
      </c>
      <c r="L45" s="91">
        <f>-ENA_9!I22</f>
        <v>-4780685</v>
      </c>
      <c r="M45" s="82">
        <f>-ENA_9!J22</f>
        <v>-1019900</v>
      </c>
      <c r="N45" s="82">
        <f>-ENA_9!K22</f>
        <v>-3760785</v>
      </c>
      <c r="O45" s="91"/>
      <c r="P45" s="82">
        <f>-N45</f>
        <v>3760785</v>
      </c>
    </row>
    <row r="46" spans="1:16" x14ac:dyDescent="0.2">
      <c r="A46" s="83" t="s">
        <v>25</v>
      </c>
      <c r="B46" s="83" t="s">
        <v>30</v>
      </c>
      <c r="C46" s="83"/>
      <c r="D46" s="83" t="s">
        <v>224</v>
      </c>
      <c r="E46" s="77" t="s">
        <v>74</v>
      </c>
      <c r="F46" s="83"/>
      <c r="G46" s="295">
        <v>3.23</v>
      </c>
      <c r="H46" s="295">
        <f>(SUM(ENA_9!G26:G37)+SUM(ENA_9!H26:H37))/12</f>
        <v>5.8497500000000011</v>
      </c>
      <c r="I46" s="88">
        <f>+L46/J46</f>
        <v>-2.6195534246575343</v>
      </c>
      <c r="J46" s="103">
        <f>-ENA_9!F39</f>
        <v>-1825000</v>
      </c>
      <c r="K46" s="103">
        <f>+J46/365</f>
        <v>-5000</v>
      </c>
      <c r="L46" s="98">
        <f>-ENA_9!I39</f>
        <v>4780685</v>
      </c>
      <c r="M46" s="99">
        <f>-ENA_9!J39</f>
        <v>1019900</v>
      </c>
      <c r="N46" s="99">
        <f>-ENA_9!K39</f>
        <v>3760785</v>
      </c>
      <c r="O46" s="84"/>
      <c r="P46" s="85"/>
    </row>
    <row r="47" spans="1:16" x14ac:dyDescent="0.2">
      <c r="A47" s="83"/>
      <c r="B47" s="84"/>
      <c r="C47" s="83"/>
      <c r="D47" s="84"/>
      <c r="E47" s="84"/>
      <c r="F47" s="83"/>
      <c r="G47" s="84"/>
      <c r="H47" s="84"/>
      <c r="I47" s="214">
        <f t="shared" ref="I47:N47" si="2">+I45+I46</f>
        <v>0</v>
      </c>
      <c r="J47" s="94">
        <f t="shared" si="2"/>
        <v>0</v>
      </c>
      <c r="K47" s="94">
        <f t="shared" si="2"/>
        <v>0</v>
      </c>
      <c r="L47" s="100">
        <f t="shared" si="2"/>
        <v>0</v>
      </c>
      <c r="M47" s="100">
        <f t="shared" si="2"/>
        <v>0</v>
      </c>
      <c r="N47" s="100">
        <f t="shared" si="2"/>
        <v>0</v>
      </c>
      <c r="O47" s="84"/>
      <c r="P47" s="85"/>
    </row>
    <row r="48" spans="1:16" x14ac:dyDescent="0.2">
      <c r="A48" s="83"/>
      <c r="B48" s="84"/>
      <c r="C48" s="83"/>
      <c r="D48" s="84"/>
      <c r="E48" s="84"/>
      <c r="F48" s="83"/>
      <c r="G48" s="84"/>
      <c r="H48" s="84"/>
      <c r="I48" s="86"/>
      <c r="J48" s="94"/>
      <c r="K48" s="138"/>
      <c r="L48" s="100"/>
      <c r="M48" s="100"/>
      <c r="N48" s="100"/>
      <c r="O48" s="84"/>
      <c r="P48" s="85"/>
    </row>
    <row r="49" spans="1:16" x14ac:dyDescent="0.2">
      <c r="A49" s="83" t="s">
        <v>25</v>
      </c>
      <c r="B49" s="83" t="s">
        <v>85</v>
      </c>
      <c r="C49" s="83" t="s">
        <v>157</v>
      </c>
      <c r="D49" s="83" t="s">
        <v>90</v>
      </c>
      <c r="E49" s="77" t="s">
        <v>74</v>
      </c>
      <c r="F49" s="155">
        <v>36676</v>
      </c>
      <c r="G49" s="79">
        <v>3.74</v>
      </c>
      <c r="H49" s="79">
        <f>(SUM(ENA_11!G9:G20)+SUM(ENA_11!H9:H20))/12</f>
        <v>5.8497500000000011</v>
      </c>
      <c r="I49" s="86">
        <v>0.1</v>
      </c>
      <c r="J49" s="102">
        <f>-ENA_11!F22</f>
        <v>1825000</v>
      </c>
      <c r="K49" s="102">
        <f>+J49/365</f>
        <v>5000</v>
      </c>
      <c r="L49" s="91">
        <f>-ENA_11!I22</f>
        <v>-3849935</v>
      </c>
      <c r="M49" s="82">
        <f>-ENA_11!J22</f>
        <v>-940850</v>
      </c>
      <c r="N49" s="82">
        <f>-ENA_11!K22</f>
        <v>-2909084.9999999995</v>
      </c>
      <c r="O49" s="91"/>
      <c r="P49" s="82">
        <f>-N49</f>
        <v>2909084.9999999995</v>
      </c>
    </row>
    <row r="50" spans="1:16" x14ac:dyDescent="0.2">
      <c r="A50" s="83" t="s">
        <v>25</v>
      </c>
      <c r="B50" s="83" t="s">
        <v>285</v>
      </c>
      <c r="C50" s="83"/>
      <c r="D50" s="83" t="s">
        <v>224</v>
      </c>
      <c r="E50" s="77" t="s">
        <v>74</v>
      </c>
      <c r="F50" s="83"/>
      <c r="G50" s="295">
        <v>3.74</v>
      </c>
      <c r="H50" s="295">
        <f>(SUM(ENA_11!G26:G37)+SUM(ENA_11!H26:H37))/12</f>
        <v>5.8497500000000011</v>
      </c>
      <c r="I50" s="88">
        <f>+L50/J50</f>
        <v>-2.109553424657534</v>
      </c>
      <c r="J50" s="103">
        <f>-ENA_11!F39</f>
        <v>-1825000</v>
      </c>
      <c r="K50" s="103">
        <f>+J50/365</f>
        <v>-5000</v>
      </c>
      <c r="L50" s="98">
        <f>-ENA_11!I39</f>
        <v>3849935</v>
      </c>
      <c r="M50" s="99">
        <f>-ENA_11!J39</f>
        <v>940850</v>
      </c>
      <c r="N50" s="99">
        <f>-ENA_11!K39</f>
        <v>2909084.9999999995</v>
      </c>
      <c r="O50" s="84"/>
      <c r="P50" s="85"/>
    </row>
    <row r="51" spans="1:16" x14ac:dyDescent="0.2">
      <c r="A51" s="83"/>
      <c r="B51" s="84"/>
      <c r="C51" s="83"/>
      <c r="D51" s="84"/>
      <c r="E51" s="84"/>
      <c r="F51" s="83"/>
      <c r="G51" s="84"/>
      <c r="H51" s="84"/>
      <c r="I51" s="86">
        <f t="shared" ref="I51:N51" si="3">+I49+I50</f>
        <v>-2.0095534246575339</v>
      </c>
      <c r="J51" s="94">
        <f t="shared" si="3"/>
        <v>0</v>
      </c>
      <c r="K51" s="94">
        <f t="shared" si="3"/>
        <v>0</v>
      </c>
      <c r="L51" s="100">
        <f t="shared" si="3"/>
        <v>0</v>
      </c>
      <c r="M51" s="100">
        <f t="shared" si="3"/>
        <v>0</v>
      </c>
      <c r="N51" s="100">
        <f t="shared" si="3"/>
        <v>0</v>
      </c>
      <c r="O51" s="84"/>
      <c r="P51" s="85"/>
    </row>
    <row r="52" spans="1:16" x14ac:dyDescent="0.2">
      <c r="A52" s="83"/>
      <c r="B52" s="84"/>
      <c r="C52" s="83"/>
      <c r="D52" s="84"/>
      <c r="E52" s="84"/>
      <c r="F52" s="83"/>
      <c r="G52" s="84"/>
      <c r="H52" s="84"/>
      <c r="I52" s="86"/>
      <c r="J52" s="94"/>
      <c r="K52" s="138"/>
      <c r="L52" s="100"/>
      <c r="M52" s="100"/>
      <c r="N52" s="100"/>
      <c r="O52" s="84"/>
      <c r="P52" s="85"/>
    </row>
    <row r="53" spans="1:16" x14ac:dyDescent="0.2">
      <c r="A53" s="83" t="s">
        <v>25</v>
      </c>
      <c r="B53" s="83" t="s">
        <v>85</v>
      </c>
      <c r="C53" s="83" t="s">
        <v>99</v>
      </c>
      <c r="D53" s="83" t="s">
        <v>90</v>
      </c>
      <c r="E53" s="77" t="s">
        <v>74</v>
      </c>
      <c r="F53" s="155">
        <v>36740</v>
      </c>
      <c r="G53" s="79">
        <v>3.63</v>
      </c>
      <c r="H53" s="79">
        <f>(SUM(ENA_12!G26:G37)+SUM(ENA_12!H26:H37))/12</f>
        <v>5.8497500000000011</v>
      </c>
      <c r="I53" s="86">
        <v>0.1</v>
      </c>
      <c r="J53" s="102">
        <f>-ENA_12!F22</f>
        <v>1825000</v>
      </c>
      <c r="K53" s="102">
        <f>+J53/365</f>
        <v>5000</v>
      </c>
      <c r="L53" s="91">
        <f>-ENA_12!I22</f>
        <v>-4050685.0000000005</v>
      </c>
      <c r="M53" s="82">
        <f>-ENA_12!J22</f>
        <v>-957900.00000000012</v>
      </c>
      <c r="N53" s="82">
        <f>-ENA_12!K22</f>
        <v>-3092785</v>
      </c>
      <c r="O53" s="91"/>
      <c r="P53" s="82">
        <f>-N53</f>
        <v>3092785</v>
      </c>
    </row>
    <row r="54" spans="1:16" x14ac:dyDescent="0.2">
      <c r="A54" s="83" t="s">
        <v>25</v>
      </c>
      <c r="B54" s="83" t="s">
        <v>285</v>
      </c>
      <c r="C54" s="83"/>
      <c r="D54" s="83" t="s">
        <v>224</v>
      </c>
      <c r="E54" s="77" t="s">
        <v>74</v>
      </c>
      <c r="F54" s="83"/>
      <c r="G54" s="295">
        <v>3.63</v>
      </c>
      <c r="H54" s="295">
        <f>(SUM(ENA_12!G26:G37)+SUM(ENA_12!H26:H37))/12</f>
        <v>5.8497500000000011</v>
      </c>
      <c r="I54" s="88">
        <f>+L54/J54</f>
        <v>-2.2195534246575344</v>
      </c>
      <c r="J54" s="103">
        <f>-ENA_12!F39</f>
        <v>-1825000</v>
      </c>
      <c r="K54" s="103">
        <f>+J54/365</f>
        <v>-5000</v>
      </c>
      <c r="L54" s="98">
        <f>-ENA_12!I39</f>
        <v>4050685.0000000005</v>
      </c>
      <c r="M54" s="99">
        <f>-ENA_12!J39</f>
        <v>957900.00000000012</v>
      </c>
      <c r="N54" s="99">
        <f>-ENA_12!K39</f>
        <v>3092785</v>
      </c>
      <c r="O54" s="84"/>
      <c r="P54" s="85"/>
    </row>
    <row r="55" spans="1:16" x14ac:dyDescent="0.2">
      <c r="A55" s="83"/>
      <c r="B55" s="84"/>
      <c r="C55" s="83"/>
      <c r="D55" s="84"/>
      <c r="E55" s="84"/>
      <c r="F55" s="83"/>
      <c r="G55" s="84"/>
      <c r="H55" s="84"/>
      <c r="I55" s="86">
        <f t="shared" ref="I55:N55" si="4">+I53+I54</f>
        <v>-2.1195534246575343</v>
      </c>
      <c r="J55" s="94">
        <f t="shared" si="4"/>
        <v>0</v>
      </c>
      <c r="K55" s="94">
        <f t="shared" si="4"/>
        <v>0</v>
      </c>
      <c r="L55" s="100">
        <f t="shared" si="4"/>
        <v>0</v>
      </c>
      <c r="M55" s="100">
        <f t="shared" si="4"/>
        <v>0</v>
      </c>
      <c r="N55" s="100">
        <f t="shared" si="4"/>
        <v>0</v>
      </c>
      <c r="O55" s="84"/>
      <c r="P55" s="85"/>
    </row>
    <row r="56" spans="1:16" x14ac:dyDescent="0.2">
      <c r="A56" s="83"/>
      <c r="B56" s="84"/>
      <c r="C56" s="83"/>
      <c r="D56" s="84"/>
      <c r="E56" s="84"/>
      <c r="F56" s="83"/>
      <c r="G56" s="84"/>
      <c r="H56" s="84"/>
      <c r="I56" s="86"/>
      <c r="J56" s="94"/>
      <c r="K56" s="138"/>
      <c r="L56" s="100"/>
      <c r="M56" s="100"/>
      <c r="N56" s="100"/>
      <c r="O56" s="84"/>
      <c r="P56" s="85"/>
    </row>
    <row r="57" spans="1:16" x14ac:dyDescent="0.2">
      <c r="A57" s="83" t="s">
        <v>25</v>
      </c>
      <c r="B57" s="83" t="s">
        <v>85</v>
      </c>
      <c r="C57" s="83" t="s">
        <v>101</v>
      </c>
      <c r="D57" s="83" t="s">
        <v>90</v>
      </c>
      <c r="E57" s="77" t="s">
        <v>74</v>
      </c>
      <c r="F57" s="155">
        <v>36754</v>
      </c>
      <c r="G57" s="79">
        <v>3.585</v>
      </c>
      <c r="H57" s="79">
        <f>(SUM(ENA_13!G26:G37)+SUM(ENA_13!H26:H37))/12</f>
        <v>5.8497500000000011</v>
      </c>
      <c r="I57" s="86">
        <v>0.1</v>
      </c>
      <c r="J57" s="102">
        <f>-ENA_13!F22</f>
        <v>1825000</v>
      </c>
      <c r="K57" s="102">
        <f>+J57/365</f>
        <v>5000</v>
      </c>
      <c r="L57" s="91">
        <f>-ENA_13!I22</f>
        <v>-4132810.0000000005</v>
      </c>
      <c r="M57" s="82">
        <f>-ENA_13!J22</f>
        <v>-964875.00000000012</v>
      </c>
      <c r="N57" s="82">
        <f>-ENA_13!K22</f>
        <v>-3167935</v>
      </c>
      <c r="O57" s="91"/>
      <c r="P57" s="82">
        <f>-N57</f>
        <v>3167935</v>
      </c>
    </row>
    <row r="58" spans="1:16" x14ac:dyDescent="0.2">
      <c r="A58" s="83" t="s">
        <v>25</v>
      </c>
      <c r="B58" s="83" t="s">
        <v>285</v>
      </c>
      <c r="C58" s="83"/>
      <c r="D58" s="83" t="s">
        <v>224</v>
      </c>
      <c r="E58" s="77" t="s">
        <v>74</v>
      </c>
      <c r="F58" s="83"/>
      <c r="G58" s="295">
        <v>3.585</v>
      </c>
      <c r="H58" s="295">
        <f>(SUM(ENA_12!G26:G37)+SUM(ENA_12!H26:H37))/12</f>
        <v>5.8497500000000011</v>
      </c>
      <c r="I58" s="88">
        <f>+L58/J58</f>
        <v>-2.2645534246575343</v>
      </c>
      <c r="J58" s="103">
        <f>-ENA_13!F39</f>
        <v>-1825000</v>
      </c>
      <c r="K58" s="103">
        <f>+J58/365</f>
        <v>-5000</v>
      </c>
      <c r="L58" s="98">
        <f>-ENA_13!I39</f>
        <v>4132810.0000000005</v>
      </c>
      <c r="M58" s="99">
        <f>-ENA_13!J39</f>
        <v>964875.00000000012</v>
      </c>
      <c r="N58" s="99">
        <f>-ENA_13!K39</f>
        <v>3167935</v>
      </c>
      <c r="O58" s="84"/>
      <c r="P58" s="85"/>
    </row>
    <row r="59" spans="1:16" x14ac:dyDescent="0.2">
      <c r="A59" s="83"/>
      <c r="B59" s="84"/>
      <c r="C59" s="83"/>
      <c r="D59" s="84"/>
      <c r="E59" s="84"/>
      <c r="F59" s="83"/>
      <c r="G59" s="84"/>
      <c r="H59" s="84"/>
      <c r="I59" s="86">
        <f t="shared" ref="I59:N59" si="5">+I57+I58</f>
        <v>-2.1645534246575342</v>
      </c>
      <c r="J59" s="94">
        <f t="shared" si="5"/>
        <v>0</v>
      </c>
      <c r="K59" s="94">
        <f t="shared" si="5"/>
        <v>0</v>
      </c>
      <c r="L59" s="100">
        <f t="shared" si="5"/>
        <v>0</v>
      </c>
      <c r="M59" s="100">
        <f t="shared" si="5"/>
        <v>0</v>
      </c>
      <c r="N59" s="100">
        <f t="shared" si="5"/>
        <v>0</v>
      </c>
      <c r="O59" s="84"/>
      <c r="P59" s="85"/>
    </row>
    <row r="60" spans="1:16" x14ac:dyDescent="0.2">
      <c r="A60" s="83"/>
      <c r="B60" s="84"/>
      <c r="C60" s="83"/>
      <c r="D60" s="84"/>
      <c r="E60" s="84"/>
      <c r="F60" s="83"/>
      <c r="G60" s="84"/>
      <c r="H60" s="84"/>
      <c r="I60" s="86"/>
      <c r="J60" s="94"/>
      <c r="K60" s="138"/>
      <c r="L60" s="100"/>
      <c r="M60" s="100"/>
      <c r="N60" s="100"/>
      <c r="O60" s="84"/>
      <c r="P60" s="85"/>
    </row>
    <row r="61" spans="1:16" ht="23.25" customHeight="1" x14ac:dyDescent="0.2">
      <c r="A61" s="83" t="s">
        <v>32</v>
      </c>
      <c r="B61" s="84" t="s">
        <v>98</v>
      </c>
      <c r="C61" s="77" t="s">
        <v>209</v>
      </c>
      <c r="D61" s="83" t="s">
        <v>90</v>
      </c>
      <c r="E61" s="84" t="s">
        <v>210</v>
      </c>
      <c r="F61" s="77" t="s">
        <v>211</v>
      </c>
      <c r="G61" s="79">
        <f>SUM('TC #HJN1001'!D14+'TC #HJN1002'!D14)/2</f>
        <v>7.4766666666666666</v>
      </c>
      <c r="H61" s="84">
        <f>SUM('TC #HJN1001'!H14+'TC #HJN1002'!H14)/2</f>
        <v>7.25</v>
      </c>
      <c r="I61" s="86">
        <f>+G61-H61</f>
        <v>0.22666666666666657</v>
      </c>
      <c r="J61" s="102">
        <v>-900000</v>
      </c>
      <c r="K61" s="175">
        <f>+J61/90</f>
        <v>-10000</v>
      </c>
      <c r="L61" s="102">
        <f>-'TC #HJN1001'!I14-'TC #HJN1002'!I14</f>
        <v>-203300.00000000047</v>
      </c>
      <c r="M61" s="298">
        <f>-'TC #HJN1001'!J14-'TC #HJN1002'!J14</f>
        <v>-65100.000000000262</v>
      </c>
      <c r="N61" s="91">
        <f>-'TC #HJN1001'!K14-'TC #HJN1002'!K14</f>
        <v>-138200.0000000002</v>
      </c>
      <c r="O61" s="91">
        <f>-N61</f>
        <v>138200.0000000002</v>
      </c>
      <c r="P61" s="85"/>
    </row>
    <row r="62" spans="1:16" ht="45" x14ac:dyDescent="0.2">
      <c r="A62" s="83" t="s">
        <v>32</v>
      </c>
      <c r="B62" s="84" t="s">
        <v>85</v>
      </c>
      <c r="C62" s="77" t="s">
        <v>212</v>
      </c>
      <c r="D62" s="83" t="s">
        <v>90</v>
      </c>
      <c r="E62" s="84" t="s">
        <v>210</v>
      </c>
      <c r="F62" s="77" t="s">
        <v>213</v>
      </c>
      <c r="G62" s="79">
        <f>+('ENA #QH8057.1'!D14+'ENA #QF8229.1'!D14+'ENA #QF1003.1'!D14+'ENA #QF0992.1'!D14)/4</f>
        <v>7.8816666666666677</v>
      </c>
      <c r="H62" s="264">
        <f>+('ENA #QH8057.1'!H14+'ENA #QF8229.1'!H14+'ENA #QF1003.1'!H14+'ENA #QF0992.1'!H14)/4</f>
        <v>7.5074999999999994</v>
      </c>
      <c r="I62" s="249">
        <f>+G62-H62</f>
        <v>0.37416666666666831</v>
      </c>
      <c r="J62" s="265">
        <v>0</v>
      </c>
      <c r="K62" s="265">
        <f>+J62/90</f>
        <v>0</v>
      </c>
      <c r="L62" s="266">
        <f>-'ENA #QH8057.1'!I14-'ENA #QF8229.1'!I14-'ENA #QF1003.1'!I14-'ENA #QF0992.1'!I14</f>
        <v>580700.00000000081</v>
      </c>
      <c r="M62" s="91">
        <f>-'ENA #QH8057.1'!J14-'ENA #QF8229.1'!J14-'ENA #QF1003.1'!J14-'ENA #QF0992.1'!J14</f>
        <v>77500.000000000553</v>
      </c>
      <c r="N62" s="91">
        <f>-'ENA #QH8057.1'!K14-'ENA #QF8229.1'!K14-'ENA #QF1003.1'!K14-'ENA #QF0992.1'!K14</f>
        <v>503200.00000000023</v>
      </c>
      <c r="O62" s="91">
        <f>-N62</f>
        <v>-503200.00000000023</v>
      </c>
      <c r="P62" s="85"/>
    </row>
    <row r="63" spans="1:16" x14ac:dyDescent="0.2">
      <c r="A63" s="83" t="s">
        <v>32</v>
      </c>
      <c r="B63" s="262" t="s">
        <v>214</v>
      </c>
      <c r="C63" s="83" t="s">
        <v>284</v>
      </c>
      <c r="D63" s="83" t="s">
        <v>225</v>
      </c>
      <c r="E63" s="84" t="s">
        <v>210</v>
      </c>
      <c r="F63" s="83"/>
      <c r="G63" s="114">
        <f>+G61-G62</f>
        <v>-0.40500000000000114</v>
      </c>
      <c r="H63" s="114">
        <f>+H61-H62</f>
        <v>-0.2574999999999994</v>
      </c>
      <c r="I63" s="112">
        <f>+I61-I62</f>
        <v>-0.14750000000000174</v>
      </c>
      <c r="J63" s="103">
        <v>450000</v>
      </c>
      <c r="K63" s="176">
        <f>+J63/90</f>
        <v>5000</v>
      </c>
      <c r="L63" s="98">
        <f>+M63+N63</f>
        <v>-377400.00000000047</v>
      </c>
      <c r="M63" s="98">
        <f>+'[6]0101'!$E$12+'[6]0101'!$E$24+'[6]0101'!$E$36</f>
        <v>-12400.000000000466</v>
      </c>
      <c r="N63" s="98">
        <f>+'[6]0201'!$E$12+'[6]0201'!$E$24+'[6]0201'!$E$36+'[6]0301'!$E$12+'[6]0301'!$E$24+'[6]0301'!$E$36</f>
        <v>-365000</v>
      </c>
      <c r="O63" s="84"/>
      <c r="P63" s="85"/>
    </row>
    <row r="64" spans="1:16" x14ac:dyDescent="0.2">
      <c r="A64" s="83"/>
      <c r="B64" s="84"/>
      <c r="C64" s="83"/>
      <c r="D64" s="84"/>
      <c r="E64" s="84"/>
      <c r="F64" s="83"/>
      <c r="G64" s="84"/>
      <c r="H64" s="84"/>
      <c r="I64" s="86">
        <f>+I63+I62+I61</f>
        <v>0.45333333333333314</v>
      </c>
      <c r="J64" s="94">
        <f>+J61+J62+J63</f>
        <v>-450000</v>
      </c>
      <c r="K64" s="94">
        <f>+K61+K62+K63</f>
        <v>-5000</v>
      </c>
      <c r="L64" s="240">
        <f>+L63+L62+L61</f>
        <v>0</v>
      </c>
      <c r="M64" s="240">
        <f>+M63+M62+M61</f>
        <v>-1.7462298274040222E-10</v>
      </c>
      <c r="N64" s="240">
        <f>+N63+N62+N61</f>
        <v>0</v>
      </c>
      <c r="O64" s="84"/>
      <c r="P64" s="85"/>
    </row>
    <row r="65" spans="1:16" x14ac:dyDescent="0.2">
      <c r="A65" s="83"/>
      <c r="B65" s="84"/>
      <c r="C65" s="83"/>
      <c r="D65" s="84"/>
      <c r="E65" s="84"/>
      <c r="F65" s="83"/>
      <c r="G65" s="84"/>
      <c r="H65" s="84"/>
      <c r="I65" s="86"/>
      <c r="J65" s="94"/>
      <c r="K65" s="138"/>
      <c r="L65" s="240"/>
      <c r="M65" s="240"/>
      <c r="N65" s="240"/>
      <c r="O65" s="84"/>
      <c r="P65" s="85"/>
    </row>
    <row r="66" spans="1:16" x14ac:dyDescent="0.2">
      <c r="A66" s="83"/>
      <c r="B66" s="84"/>
      <c r="C66" s="83"/>
      <c r="D66" s="84"/>
      <c r="E66" s="84"/>
      <c r="F66" s="83"/>
      <c r="G66" s="84"/>
      <c r="H66" s="84"/>
      <c r="I66" s="86"/>
      <c r="J66" s="94"/>
      <c r="K66" s="138"/>
      <c r="L66" s="100"/>
      <c r="M66" s="100"/>
      <c r="N66" s="100"/>
      <c r="O66" s="84"/>
      <c r="P66" s="85"/>
    </row>
    <row r="67" spans="1:16" x14ac:dyDescent="0.2">
      <c r="A67" s="83" t="s">
        <v>32</v>
      </c>
      <c r="B67" s="84" t="s">
        <v>194</v>
      </c>
      <c r="C67" s="83" t="s">
        <v>199</v>
      </c>
      <c r="D67" s="83" t="s">
        <v>90</v>
      </c>
      <c r="E67" s="84" t="s">
        <v>215</v>
      </c>
      <c r="F67" s="155">
        <v>36902</v>
      </c>
      <c r="G67" s="105">
        <f>SUM('HJN1003'!D10:D11)/2</f>
        <v>6.24</v>
      </c>
      <c r="H67" s="105">
        <f>SUM('HJN1003'!H10:H11)/2</f>
        <v>6.13</v>
      </c>
      <c r="I67" s="86">
        <f>+G67-H67</f>
        <v>0.11000000000000032</v>
      </c>
      <c r="J67" s="102">
        <v>590000</v>
      </c>
      <c r="K67" s="175">
        <f>+J67/59</f>
        <v>10000</v>
      </c>
      <c r="L67" s="91">
        <f>-'HJN1003'!I13</f>
        <v>64900.000000000189</v>
      </c>
      <c r="M67" s="91">
        <f>-'HJN1003'!J13</f>
        <v>0</v>
      </c>
      <c r="N67" s="91">
        <f>-'HJN1003'!K13</f>
        <v>64900.000000000189</v>
      </c>
      <c r="O67" s="91">
        <f>-N67</f>
        <v>-64900.000000000189</v>
      </c>
      <c r="P67" s="85"/>
    </row>
    <row r="68" spans="1:16" x14ac:dyDescent="0.2">
      <c r="A68" s="83" t="s">
        <v>32</v>
      </c>
      <c r="B68" s="84" t="s">
        <v>98</v>
      </c>
      <c r="C68" s="83" t="s">
        <v>192</v>
      </c>
      <c r="D68" s="83" t="s">
        <v>90</v>
      </c>
      <c r="E68" s="84" t="s">
        <v>215</v>
      </c>
      <c r="F68" s="155">
        <v>36902</v>
      </c>
      <c r="G68" s="105">
        <f>SUM('HJN1004'!D10:D11)/2</f>
        <v>5.9</v>
      </c>
      <c r="H68" s="105">
        <f>SUM('HJN1004'!H10:H11)/2</f>
        <v>5.915</v>
      </c>
      <c r="I68" s="86">
        <f>+G68-H68</f>
        <v>-1.499999999999968E-2</v>
      </c>
      <c r="J68" s="102">
        <v>-590000</v>
      </c>
      <c r="K68" s="175">
        <f>+J68/59</f>
        <v>-10000</v>
      </c>
      <c r="L68" s="91">
        <f>-'HJN1004'!I13</f>
        <v>9299.9999999998017</v>
      </c>
      <c r="M68" s="91">
        <f>-'HJN1004'!J13</f>
        <v>0</v>
      </c>
      <c r="N68" s="91">
        <f>-'HJN1004'!K13</f>
        <v>9299.9999999998017</v>
      </c>
      <c r="O68" s="91">
        <f>-N68</f>
        <v>-9299.9999999998017</v>
      </c>
      <c r="P68" s="85"/>
    </row>
    <row r="69" spans="1:16" x14ac:dyDescent="0.2">
      <c r="A69" s="83" t="s">
        <v>32</v>
      </c>
      <c r="B69" s="84" t="s">
        <v>194</v>
      </c>
      <c r="C69" s="83" t="s">
        <v>284</v>
      </c>
      <c r="D69" s="83" t="s">
        <v>225</v>
      </c>
      <c r="E69" s="84" t="s">
        <v>215</v>
      </c>
      <c r="F69" s="83"/>
      <c r="G69" s="114">
        <f>+G67-G68</f>
        <v>0.33999999999999986</v>
      </c>
      <c r="H69" s="114">
        <f>+H67-H68</f>
        <v>0.21499999999999986</v>
      </c>
      <c r="I69" s="112">
        <f>+I67-I68</f>
        <v>0.125</v>
      </c>
      <c r="J69" s="103">
        <v>910000</v>
      </c>
      <c r="K69" s="212">
        <f>+J69/91</f>
        <v>10000</v>
      </c>
      <c r="L69" s="98">
        <f>+M69+N69</f>
        <v>-74200.000000000233</v>
      </c>
      <c r="M69" s="98">
        <v>0</v>
      </c>
      <c r="N69" s="98">
        <f>+'[5]0201'!$E$12+'[5]0301'!$E$12</f>
        <v>-74200.000000000233</v>
      </c>
      <c r="O69" s="84"/>
      <c r="P69" s="85"/>
    </row>
    <row r="70" spans="1:16" x14ac:dyDescent="0.2">
      <c r="A70" s="83"/>
      <c r="B70" s="84"/>
      <c r="C70" s="83"/>
      <c r="D70" s="84"/>
      <c r="E70" s="84"/>
      <c r="F70" s="83"/>
      <c r="G70" s="84"/>
      <c r="H70" s="84"/>
      <c r="I70" s="86">
        <f t="shared" ref="I70:N70" si="6">SUM(I67:I69)</f>
        <v>0.22000000000000064</v>
      </c>
      <c r="J70" s="94">
        <f t="shared" si="6"/>
        <v>910000</v>
      </c>
      <c r="K70" s="138">
        <f t="shared" si="6"/>
        <v>10000</v>
      </c>
      <c r="L70" s="100">
        <f t="shared" si="6"/>
        <v>-2.4738255888223648E-10</v>
      </c>
      <c r="M70" s="100">
        <f t="shared" si="6"/>
        <v>0</v>
      </c>
      <c r="N70" s="100">
        <f t="shared" si="6"/>
        <v>-2.4738255888223648E-10</v>
      </c>
      <c r="O70" s="84"/>
      <c r="P70" s="85"/>
    </row>
    <row r="71" spans="1:16" x14ac:dyDescent="0.2">
      <c r="A71" s="83"/>
      <c r="B71" s="84"/>
      <c r="C71" s="83"/>
      <c r="D71" s="84"/>
      <c r="E71" s="84"/>
      <c r="F71" s="83"/>
      <c r="G71" s="84"/>
      <c r="H71" s="84"/>
      <c r="I71" s="86"/>
      <c r="J71" s="94"/>
      <c r="K71" s="138"/>
      <c r="L71" s="100"/>
      <c r="M71" s="100"/>
      <c r="N71" s="100"/>
      <c r="O71" s="84"/>
      <c r="P71" s="85"/>
    </row>
    <row r="72" spans="1:16" x14ac:dyDescent="0.2">
      <c r="A72" s="267" t="s">
        <v>25</v>
      </c>
      <c r="B72" s="272" t="s">
        <v>160</v>
      </c>
      <c r="C72" s="83" t="s">
        <v>274</v>
      </c>
      <c r="D72" s="267" t="s">
        <v>90</v>
      </c>
      <c r="E72" s="84" t="s">
        <v>276</v>
      </c>
      <c r="F72" s="155">
        <v>36902</v>
      </c>
      <c r="G72" s="79">
        <f>+'QL5363.1'!D10</f>
        <v>4.5049999999999999</v>
      </c>
      <c r="H72" s="79">
        <f>+'QL5363.1'!H10</f>
        <v>5.2050000000000001</v>
      </c>
      <c r="I72" s="79">
        <f>+G72-H72</f>
        <v>-0.70000000000000018</v>
      </c>
      <c r="J72" s="102">
        <f>+'QL5363.1'!F15</f>
        <v>-418500</v>
      </c>
      <c r="K72" s="175">
        <f>+J72/31</f>
        <v>-13500</v>
      </c>
      <c r="L72" s="91">
        <f>-'QL5363.1'!I12</f>
        <v>292950.00000000006</v>
      </c>
      <c r="M72" s="91">
        <f>-'QL5363.1'!J12</f>
        <v>0</v>
      </c>
      <c r="N72" s="91">
        <f>-'QL5363.1'!K12</f>
        <v>292950.00000000006</v>
      </c>
      <c r="O72" s="91"/>
      <c r="P72" s="82">
        <f>-N72</f>
        <v>-292950.00000000006</v>
      </c>
    </row>
    <row r="73" spans="1:16" x14ac:dyDescent="0.2">
      <c r="A73" s="267" t="s">
        <v>25</v>
      </c>
      <c r="B73" s="272" t="s">
        <v>160</v>
      </c>
      <c r="C73" s="83" t="s">
        <v>275</v>
      </c>
      <c r="D73" s="267" t="s">
        <v>90</v>
      </c>
      <c r="E73" s="84" t="s">
        <v>276</v>
      </c>
      <c r="F73" s="309">
        <v>36902</v>
      </c>
      <c r="G73" s="87">
        <f>+'QL5365.1'!D10</f>
        <v>5.6150000000000002</v>
      </c>
      <c r="H73" s="87">
        <f>+'QL5365.1'!H10</f>
        <v>7.6800000000000006</v>
      </c>
      <c r="I73" s="87">
        <f>+G73-H73</f>
        <v>-2.0650000000000004</v>
      </c>
      <c r="J73" s="102">
        <f>+'QL5365.1'!F15</f>
        <v>418500</v>
      </c>
      <c r="K73" s="175">
        <f>+J73/31</f>
        <v>13500</v>
      </c>
      <c r="L73" s="266">
        <f>-'QL5365.1'!I12</f>
        <v>-864202.50000000012</v>
      </c>
      <c r="M73" s="266">
        <f>-'QL5365.1'!J12</f>
        <v>0</v>
      </c>
      <c r="N73" s="266">
        <f>-'QL5365.1'!K12</f>
        <v>-864202.50000000012</v>
      </c>
      <c r="O73" s="91"/>
      <c r="P73" s="82">
        <f>-N73</f>
        <v>864202.50000000012</v>
      </c>
    </row>
    <row r="74" spans="1:16" x14ac:dyDescent="0.2">
      <c r="A74" s="267" t="s">
        <v>25</v>
      </c>
      <c r="B74" s="272" t="s">
        <v>262</v>
      </c>
      <c r="C74" s="83">
        <v>27457</v>
      </c>
      <c r="D74" s="267" t="s">
        <v>225</v>
      </c>
      <c r="E74" s="84" t="s">
        <v>276</v>
      </c>
      <c r="F74" s="155">
        <v>36902</v>
      </c>
      <c r="G74" s="308"/>
      <c r="H74" s="308"/>
      <c r="I74" s="88"/>
      <c r="J74" s="282"/>
      <c r="K74" s="283"/>
      <c r="L74" s="284">
        <f>-L72-L73</f>
        <v>571252.5</v>
      </c>
      <c r="M74" s="284">
        <f>-M72-M73</f>
        <v>0</v>
      </c>
      <c r="N74" s="284">
        <f>-N72-N73</f>
        <v>571252.5</v>
      </c>
      <c r="O74" s="84"/>
      <c r="P74" s="85"/>
    </row>
    <row r="75" spans="1:16" x14ac:dyDescent="0.2">
      <c r="A75" s="267"/>
      <c r="B75" s="272"/>
      <c r="C75" s="83"/>
      <c r="D75" s="267"/>
      <c r="E75" s="84"/>
      <c r="F75" s="155"/>
      <c r="G75" s="84"/>
      <c r="H75" s="84"/>
      <c r="I75" s="86"/>
      <c r="J75" s="102"/>
      <c r="K75" s="175"/>
      <c r="L75" s="91">
        <f>SUM(L72:L74)</f>
        <v>0</v>
      </c>
      <c r="M75" s="91">
        <f>SUM(M72:M74)</f>
        <v>0</v>
      </c>
      <c r="N75" s="91">
        <f>SUM(N72:N74)</f>
        <v>0</v>
      </c>
      <c r="O75" s="84"/>
      <c r="P75" s="85"/>
    </row>
    <row r="76" spans="1:16" x14ac:dyDescent="0.2">
      <c r="A76" s="267"/>
      <c r="B76" s="84"/>
      <c r="C76" s="83"/>
      <c r="D76" s="84"/>
      <c r="E76" s="84"/>
      <c r="F76" s="83"/>
      <c r="G76" s="84"/>
      <c r="H76" s="84"/>
      <c r="I76" s="86"/>
      <c r="J76" s="94"/>
      <c r="K76" s="138"/>
      <c r="L76" s="100"/>
      <c r="M76" s="100"/>
      <c r="N76" s="100"/>
      <c r="O76" s="84"/>
      <c r="P76" s="85"/>
    </row>
    <row r="77" spans="1:16" x14ac:dyDescent="0.2">
      <c r="A77" s="83"/>
      <c r="B77" s="84"/>
      <c r="C77" s="83"/>
      <c r="D77" s="84"/>
      <c r="E77" s="84"/>
      <c r="F77" s="83"/>
      <c r="G77" s="84"/>
      <c r="H77" s="84"/>
      <c r="I77" s="86"/>
      <c r="J77" s="94"/>
      <c r="K77" s="138"/>
      <c r="L77" s="100"/>
      <c r="M77" s="100"/>
      <c r="N77" s="100"/>
      <c r="O77" s="84"/>
      <c r="P77" s="85"/>
    </row>
    <row r="78" spans="1:16" x14ac:dyDescent="0.2">
      <c r="A78" s="267" t="s">
        <v>25</v>
      </c>
      <c r="B78" s="272" t="s">
        <v>160</v>
      </c>
      <c r="C78" s="267" t="s">
        <v>217</v>
      </c>
      <c r="D78" s="267" t="s">
        <v>90</v>
      </c>
      <c r="E78" s="272" t="s">
        <v>218</v>
      </c>
      <c r="F78" s="273">
        <v>36903</v>
      </c>
      <c r="G78" s="243">
        <f>SUM('QL2915.1'!D10:D21)/12</f>
        <v>4.4212500000000006</v>
      </c>
      <c r="H78" s="243">
        <f>SUM('QL2915.1'!H10:H21)/12</f>
        <v>4.4866666666666672</v>
      </c>
      <c r="I78" s="274">
        <f>+G78-H78</f>
        <v>-6.5416666666666679E-2</v>
      </c>
      <c r="J78" s="275">
        <f>-'QL2915.1'!F22</f>
        <v>-10037500</v>
      </c>
      <c r="K78" s="276">
        <f>+J78/365</f>
        <v>-27500</v>
      </c>
      <c r="L78" s="277">
        <f>-'QL2915.1'!I25</f>
        <v>657937.49999999942</v>
      </c>
      <c r="M78" s="277">
        <f>-'QL2915.1'!J25</f>
        <v>0</v>
      </c>
      <c r="N78" s="277">
        <f>-'QL2915.1'!K25</f>
        <v>657937.49999999942</v>
      </c>
      <c r="O78" s="91"/>
      <c r="P78" s="82">
        <f>-N78</f>
        <v>-657937.49999999942</v>
      </c>
    </row>
    <row r="79" spans="1:16" x14ac:dyDescent="0.2">
      <c r="A79" s="267" t="s">
        <v>25</v>
      </c>
      <c r="B79" s="272" t="s">
        <v>160</v>
      </c>
      <c r="C79" s="267" t="s">
        <v>219</v>
      </c>
      <c r="D79" s="267" t="s">
        <v>90</v>
      </c>
      <c r="E79" s="272" t="s">
        <v>218</v>
      </c>
      <c r="F79" s="273">
        <v>36903</v>
      </c>
      <c r="G79" s="243">
        <f>SUM('QL2918.1'!D10:D21)/12</f>
        <v>5.74125</v>
      </c>
      <c r="H79" s="278">
        <f>SUM('QL2918.1'!H10:H21)/12</f>
        <v>6.5095833333333344</v>
      </c>
      <c r="I79" s="279">
        <f>+G79-H79</f>
        <v>-0.76833333333333442</v>
      </c>
      <c r="J79" s="280">
        <f>-'QL2918.1'!F25</f>
        <v>-10037500</v>
      </c>
      <c r="K79" s="280">
        <f>+J79/365</f>
        <v>-27500</v>
      </c>
      <c r="L79" s="281">
        <f>-'QL2918.1'!I25</f>
        <v>-7702337.4999999991</v>
      </c>
      <c r="M79" s="277">
        <f>-'QL2918.1'!J25</f>
        <v>0</v>
      </c>
      <c r="N79" s="281">
        <f>-'QL2918.1'!K25</f>
        <v>-7702337.4999999991</v>
      </c>
      <c r="O79" s="91"/>
      <c r="P79" s="82">
        <f>-N79</f>
        <v>7702337.4999999991</v>
      </c>
    </row>
    <row r="80" spans="1:16" x14ac:dyDescent="0.2">
      <c r="A80" s="267" t="s">
        <v>25</v>
      </c>
      <c r="B80" s="272" t="s">
        <v>180</v>
      </c>
      <c r="C80" s="267">
        <v>27454</v>
      </c>
      <c r="D80" s="267" t="s">
        <v>225</v>
      </c>
      <c r="E80" s="272" t="s">
        <v>218</v>
      </c>
      <c r="F80" s="273">
        <v>36901</v>
      </c>
      <c r="G80" s="294"/>
      <c r="H80" s="294"/>
      <c r="I80" s="88"/>
      <c r="J80" s="282"/>
      <c r="K80" s="283"/>
      <c r="L80" s="284">
        <f>+M80+N80</f>
        <v>7044400.0000000019</v>
      </c>
      <c r="M80" s="284">
        <v>0</v>
      </c>
      <c r="N80" s="284">
        <f>+'[7]0102'!$E$12+'[7]0202'!$E$12+'[7]0302'!$E$12+'[7]0402'!$E$12+'[7]0502'!$E$12+'[7]0602'!$E$12+'[7]0702'!$E$12+'[7]0802'!$E$12+'[7]0902'!$E$12+'[7]1002'!$E$12+'[7]1102'!$E$12+'[7]1202.'!$E$12</f>
        <v>7044400.0000000019</v>
      </c>
      <c r="O80" s="84"/>
      <c r="P80" s="85"/>
    </row>
    <row r="81" spans="1:16" x14ac:dyDescent="0.2">
      <c r="A81" s="267"/>
      <c r="B81" s="272"/>
      <c r="C81" s="267"/>
      <c r="D81" s="272"/>
      <c r="E81" s="272"/>
      <c r="F81" s="267"/>
      <c r="G81" s="272"/>
      <c r="H81" s="272"/>
      <c r="I81" s="274"/>
      <c r="J81" s="285"/>
      <c r="K81" s="286"/>
      <c r="L81" s="287">
        <f>+L78+L79+L80</f>
        <v>0</v>
      </c>
      <c r="M81" s="287">
        <f>+M78+M79+M80</f>
        <v>0</v>
      </c>
      <c r="N81" s="287">
        <f>+N78+N79+N80</f>
        <v>0</v>
      </c>
      <c r="O81" s="84"/>
      <c r="P81" s="85"/>
    </row>
    <row r="82" spans="1:16" x14ac:dyDescent="0.2">
      <c r="A82" s="267"/>
      <c r="B82" s="272"/>
      <c r="C82" s="267"/>
      <c r="D82" s="272"/>
      <c r="E82" s="272"/>
      <c r="F82" s="267"/>
      <c r="G82" s="272"/>
      <c r="H82" s="272"/>
      <c r="I82" s="274"/>
      <c r="J82" s="285"/>
      <c r="K82" s="286"/>
      <c r="L82" s="287"/>
      <c r="M82" s="287"/>
      <c r="N82" s="287"/>
      <c r="O82" s="84"/>
      <c r="P82" s="85"/>
    </row>
    <row r="83" spans="1:16" x14ac:dyDescent="0.2">
      <c r="A83" s="267" t="s">
        <v>25</v>
      </c>
      <c r="B83" s="272" t="s">
        <v>160</v>
      </c>
      <c r="C83" s="267" t="s">
        <v>280</v>
      </c>
      <c r="D83" s="267" t="s">
        <v>90</v>
      </c>
      <c r="E83" s="272" t="s">
        <v>286</v>
      </c>
      <c r="F83" s="273">
        <v>36907</v>
      </c>
      <c r="G83" s="243">
        <f>SUM('QL5424.1'!D10:D11)/2</f>
        <v>5.4725000000000001</v>
      </c>
      <c r="H83" s="243">
        <f>SUM('QL5424.1'!H10:H11)/2</f>
        <v>5.9824999999999999</v>
      </c>
      <c r="I83" s="243">
        <f>+G83-H83</f>
        <v>-0.50999999999999979</v>
      </c>
      <c r="J83" s="275">
        <f>+'QL5424.1'!F16</f>
        <v>1311500</v>
      </c>
      <c r="K83" s="276">
        <f>+J83/61</f>
        <v>21500</v>
      </c>
      <c r="L83" s="277">
        <f>-'QL5424.1'!I16</f>
        <v>-668864.99999999977</v>
      </c>
      <c r="M83" s="277">
        <f>-'QL5424.1'!J16</f>
        <v>0</v>
      </c>
      <c r="N83" s="277">
        <f>-'QL5424.1'!K16</f>
        <v>-668864.99999999977</v>
      </c>
      <c r="O83" s="91"/>
      <c r="P83" s="82">
        <f>-N83</f>
        <v>668864.99999999977</v>
      </c>
    </row>
    <row r="84" spans="1:16" x14ac:dyDescent="0.2">
      <c r="A84" s="267" t="s">
        <v>25</v>
      </c>
      <c r="B84" s="272" t="s">
        <v>160</v>
      </c>
      <c r="C84" s="267" t="s">
        <v>281</v>
      </c>
      <c r="D84" s="267" t="s">
        <v>90</v>
      </c>
      <c r="E84" s="272" t="s">
        <v>286</v>
      </c>
      <c r="F84" s="273">
        <v>36907</v>
      </c>
      <c r="G84" s="243">
        <f>SUM('QL5424.1'!D10:D11)/2</f>
        <v>5.4725000000000001</v>
      </c>
      <c r="H84" s="243">
        <f>SUM('QL5444.1'!H10:H11)/2</f>
        <v>4.4474999999999998</v>
      </c>
      <c r="I84" s="243">
        <f>+G84-H84</f>
        <v>1.0250000000000004</v>
      </c>
      <c r="J84" s="275">
        <f>+'QL5444.1'!F16</f>
        <v>-1311500</v>
      </c>
      <c r="K84" s="276">
        <f>+J84/61</f>
        <v>-21500</v>
      </c>
      <c r="L84" s="277">
        <f>-'QL5444.1'!I16</f>
        <v>-32787.499999999302</v>
      </c>
      <c r="M84" s="277">
        <f>-'QL5444.1'!J16</f>
        <v>0</v>
      </c>
      <c r="N84" s="277">
        <f>-'QL5444.1'!K16</f>
        <v>-32787.499999999302</v>
      </c>
      <c r="O84" s="91"/>
      <c r="P84" s="82">
        <f>-N84</f>
        <v>32787.499999999302</v>
      </c>
    </row>
    <row r="85" spans="1:16" x14ac:dyDescent="0.2">
      <c r="A85" s="267" t="s">
        <v>25</v>
      </c>
      <c r="B85" s="272" t="s">
        <v>262</v>
      </c>
      <c r="C85" s="267">
        <v>27456</v>
      </c>
      <c r="D85" s="267" t="s">
        <v>225</v>
      </c>
      <c r="E85" s="272" t="s">
        <v>286</v>
      </c>
      <c r="F85" s="273">
        <v>36902</v>
      </c>
      <c r="G85" s="294"/>
      <c r="H85" s="294"/>
      <c r="I85" s="294"/>
      <c r="J85" s="282"/>
      <c r="K85" s="283"/>
      <c r="L85" s="284">
        <f>-L83-L84</f>
        <v>701652.49999999907</v>
      </c>
      <c r="M85" s="284">
        <f>-M83-M84</f>
        <v>0</v>
      </c>
      <c r="N85" s="284">
        <f>-N83-N84</f>
        <v>701652.49999999907</v>
      </c>
      <c r="O85" s="84"/>
      <c r="P85" s="85"/>
    </row>
    <row r="86" spans="1:16" x14ac:dyDescent="0.2">
      <c r="A86" s="267"/>
      <c r="B86" s="272"/>
      <c r="C86" s="267"/>
      <c r="D86" s="272"/>
      <c r="E86" s="272"/>
      <c r="F86" s="267"/>
      <c r="G86" s="243"/>
      <c r="H86" s="243"/>
      <c r="I86" s="243"/>
      <c r="J86" s="275"/>
      <c r="K86" s="276"/>
      <c r="L86" s="277">
        <f>SUM(L83:L85)</f>
        <v>0</v>
      </c>
      <c r="M86" s="277">
        <f>SUM(M83:M85)</f>
        <v>0</v>
      </c>
      <c r="N86" s="277">
        <f>SUM(N83:N85)</f>
        <v>0</v>
      </c>
      <c r="O86" s="84"/>
      <c r="P86" s="85"/>
    </row>
    <row r="87" spans="1:16" x14ac:dyDescent="0.2">
      <c r="A87" s="267"/>
      <c r="B87" s="272"/>
      <c r="C87" s="267"/>
      <c r="D87" s="272"/>
      <c r="E87" s="272"/>
      <c r="F87" s="267"/>
      <c r="G87" s="272"/>
      <c r="H87" s="272"/>
      <c r="I87" s="274"/>
      <c r="J87" s="285"/>
      <c r="K87" s="286"/>
      <c r="L87" s="287"/>
      <c r="M87" s="287"/>
      <c r="N87" s="287"/>
      <c r="O87" s="84"/>
      <c r="P87" s="85"/>
    </row>
    <row r="88" spans="1:16" x14ac:dyDescent="0.2">
      <c r="A88" s="267" t="s">
        <v>25</v>
      </c>
      <c r="B88" s="272" t="s">
        <v>160</v>
      </c>
      <c r="C88" s="267" t="s">
        <v>260</v>
      </c>
      <c r="D88" s="267" t="s">
        <v>90</v>
      </c>
      <c r="E88" s="272" t="s">
        <v>263</v>
      </c>
      <c r="F88" s="273">
        <v>36907</v>
      </c>
      <c r="G88" s="243">
        <f>SUM('QL5357.1'!D10:D21)/12</f>
        <v>5.2791666666666668</v>
      </c>
      <c r="H88" s="243">
        <f>SUM('QL5357.1'!H10:H21)/12</f>
        <v>5.5630833333333323</v>
      </c>
      <c r="I88" s="274">
        <f>+G88-H88</f>
        <v>-0.28391666666666548</v>
      </c>
      <c r="J88" s="275">
        <f>'QL5357.1'!F25</f>
        <v>13687500</v>
      </c>
      <c r="K88" s="276">
        <f>+J88/365</f>
        <v>37500</v>
      </c>
      <c r="L88" s="277">
        <f>-'QL5357.1'!I22</f>
        <v>-3886537.4999999916</v>
      </c>
      <c r="M88" s="277">
        <f>-'QL5357.1'!J22</f>
        <v>0</v>
      </c>
      <c r="N88" s="277">
        <f>-'QL5357.1'!K22</f>
        <v>-3886537.4999999916</v>
      </c>
      <c r="O88" s="91"/>
      <c r="P88" s="82">
        <f>-N88</f>
        <v>3886537.4999999916</v>
      </c>
    </row>
    <row r="89" spans="1:16" x14ac:dyDescent="0.2">
      <c r="A89" s="267" t="s">
        <v>25</v>
      </c>
      <c r="B89" s="272" t="s">
        <v>160</v>
      </c>
      <c r="C89" s="267" t="s">
        <v>261</v>
      </c>
      <c r="D89" s="267" t="s">
        <v>90</v>
      </c>
      <c r="E89" s="272" t="s">
        <v>263</v>
      </c>
      <c r="F89" s="273">
        <v>36907</v>
      </c>
      <c r="G89" s="243">
        <f>SUM('QL5358.1'!D10:D21)/12</f>
        <v>4.0991666666666662</v>
      </c>
      <c r="H89" s="243">
        <f>SUM('QL5358.1'!H10:H21)/12</f>
        <v>4.0770833333333334</v>
      </c>
      <c r="I89" s="274">
        <f>+G89-H89</f>
        <v>2.2083333333332789E-2</v>
      </c>
      <c r="J89" s="275">
        <f>+'QL5358.1'!F25</f>
        <v>-13687500</v>
      </c>
      <c r="K89" s="276">
        <f>+J89/365</f>
        <v>-37500</v>
      </c>
      <c r="L89" s="277">
        <f>-'QL5358.1'!I22</f>
        <v>-302062.49999999715</v>
      </c>
      <c r="M89" s="277">
        <f>-'QL5358.1'!J22</f>
        <v>0</v>
      </c>
      <c r="N89" s="277">
        <f>-'QL5358.1'!K22</f>
        <v>-302062.49999999715</v>
      </c>
      <c r="O89" s="91"/>
      <c r="P89" s="82">
        <f>-N89</f>
        <v>302062.49999999715</v>
      </c>
    </row>
    <row r="90" spans="1:16" x14ac:dyDescent="0.2">
      <c r="A90" s="267" t="s">
        <v>25</v>
      </c>
      <c r="B90" s="272" t="s">
        <v>262</v>
      </c>
      <c r="C90" s="267">
        <v>27453</v>
      </c>
      <c r="D90" s="267" t="s">
        <v>225</v>
      </c>
      <c r="E90" s="272" t="s">
        <v>263</v>
      </c>
      <c r="F90" s="273">
        <v>36902</v>
      </c>
      <c r="G90" s="303"/>
      <c r="H90" s="303"/>
      <c r="I90" s="304"/>
      <c r="J90" s="305"/>
      <c r="K90" s="306"/>
      <c r="L90" s="284">
        <f>-L88-L89</f>
        <v>4188599.9999999888</v>
      </c>
      <c r="M90" s="284">
        <f>-M88-M89</f>
        <v>0</v>
      </c>
      <c r="N90" s="284">
        <f>-N88-N89</f>
        <v>4188599.9999999888</v>
      </c>
      <c r="O90" s="84"/>
      <c r="P90" s="85"/>
    </row>
    <row r="91" spans="1:16" x14ac:dyDescent="0.2">
      <c r="A91" s="267"/>
      <c r="B91" s="272"/>
      <c r="C91" s="267"/>
      <c r="D91" s="272"/>
      <c r="E91" s="272"/>
      <c r="F91" s="267"/>
      <c r="G91" s="301"/>
      <c r="H91" s="301"/>
      <c r="I91" s="302"/>
      <c r="J91" s="285">
        <f>+J90+J89+J88</f>
        <v>0</v>
      </c>
      <c r="K91" s="285">
        <f>+K90+K89+K88</f>
        <v>0</v>
      </c>
      <c r="L91" s="287">
        <f>+L90+L89+L88</f>
        <v>0</v>
      </c>
      <c r="M91" s="287">
        <f>+M90+M89+M88</f>
        <v>0</v>
      </c>
      <c r="N91" s="287">
        <f>+N90+N89+N88</f>
        <v>0</v>
      </c>
      <c r="O91" s="84"/>
      <c r="P91" s="85"/>
    </row>
    <row r="92" spans="1:16" x14ac:dyDescent="0.2">
      <c r="A92" s="267"/>
      <c r="B92" s="272"/>
      <c r="C92" s="267"/>
      <c r="D92" s="272"/>
      <c r="E92" s="272"/>
      <c r="F92" s="267"/>
      <c r="G92" s="301"/>
      <c r="H92" s="301"/>
      <c r="I92" s="302"/>
      <c r="J92" s="285"/>
      <c r="K92" s="286"/>
      <c r="L92" s="287"/>
      <c r="M92" s="287"/>
      <c r="N92" s="287"/>
      <c r="O92" s="84"/>
      <c r="P92" s="85"/>
    </row>
    <row r="93" spans="1:16" x14ac:dyDescent="0.2">
      <c r="A93" s="267" t="s">
        <v>25</v>
      </c>
      <c r="B93" s="272" t="s">
        <v>160</v>
      </c>
      <c r="C93" s="267" t="s">
        <v>268</v>
      </c>
      <c r="D93" s="267" t="s">
        <v>90</v>
      </c>
      <c r="E93" s="272" t="s">
        <v>263</v>
      </c>
      <c r="F93" s="273">
        <v>36908</v>
      </c>
      <c r="G93" s="243">
        <f>SUM('QL9270.1'!D10:D21)/12</f>
        <v>5.4091666666666667</v>
      </c>
      <c r="H93" s="243">
        <f>SUM('QL9270.1'!H10:H21)/12</f>
        <v>5.5630833333333323</v>
      </c>
      <c r="I93" s="274">
        <f>+G93-H93</f>
        <v>-0.15391666666666559</v>
      </c>
      <c r="J93" s="275">
        <f>+'QL9270.1'!F22</f>
        <v>4197500</v>
      </c>
      <c r="K93" s="276">
        <f>+J93/365</f>
        <v>11500</v>
      </c>
      <c r="L93" s="277">
        <f>-'QL9270.1'!I22</f>
        <v>-646196.4999999979</v>
      </c>
      <c r="M93" s="277">
        <f>-'QL9270.1'!J22</f>
        <v>0</v>
      </c>
      <c r="N93" s="277">
        <f>-'QL9270.1'!K22</f>
        <v>-646196.4999999979</v>
      </c>
      <c r="O93" s="91"/>
      <c r="P93" s="82">
        <f>-N93</f>
        <v>646196.4999999979</v>
      </c>
    </row>
    <row r="94" spans="1:16" x14ac:dyDescent="0.2">
      <c r="A94" s="267" t="s">
        <v>25</v>
      </c>
      <c r="B94" s="272" t="s">
        <v>160</v>
      </c>
      <c r="C94" s="267" t="s">
        <v>269</v>
      </c>
      <c r="D94" s="267" t="s">
        <v>90</v>
      </c>
      <c r="E94" s="272" t="s">
        <v>263</v>
      </c>
      <c r="F94" s="273">
        <v>36908</v>
      </c>
      <c r="G94" s="243">
        <f>SUM('QL9273.1'!D10:D21)/12</f>
        <v>4.1091666666666677</v>
      </c>
      <c r="H94" s="243">
        <f>SUM('QL9273.1'!H11:H21)/12</f>
        <v>3.69875</v>
      </c>
      <c r="I94" s="274">
        <f>+G94-H94</f>
        <v>0.41041666666666776</v>
      </c>
      <c r="J94" s="275">
        <f>+'QL9273.1'!F22</f>
        <v>-4197500</v>
      </c>
      <c r="K94" s="276">
        <f>+J94/365</f>
        <v>-11500</v>
      </c>
      <c r="L94" s="277">
        <f>-'QL9273.1'!I22</f>
        <v>-134607.49999999991</v>
      </c>
      <c r="M94" s="277">
        <f>-'QL9273.1'!J22</f>
        <v>0</v>
      </c>
      <c r="N94" s="277">
        <f>-'QL9273.1'!K22</f>
        <v>-134607.49999999991</v>
      </c>
      <c r="O94" s="91"/>
      <c r="P94" s="82">
        <f>-N94</f>
        <v>134607.49999999991</v>
      </c>
    </row>
    <row r="95" spans="1:16" x14ac:dyDescent="0.2">
      <c r="A95" s="267" t="s">
        <v>25</v>
      </c>
      <c r="B95" s="272" t="s">
        <v>267</v>
      </c>
      <c r="C95" s="267">
        <v>27458</v>
      </c>
      <c r="D95" s="267" t="s">
        <v>225</v>
      </c>
      <c r="E95" s="272" t="s">
        <v>263</v>
      </c>
      <c r="F95" s="273">
        <v>36902</v>
      </c>
      <c r="G95" s="303"/>
      <c r="H95" s="303"/>
      <c r="I95" s="304"/>
      <c r="J95" s="305"/>
      <c r="K95" s="307"/>
      <c r="L95" s="284">
        <f>-L93-L94</f>
        <v>780803.99999999779</v>
      </c>
      <c r="M95" s="284">
        <f>-M93-M94</f>
        <v>0</v>
      </c>
      <c r="N95" s="284">
        <f>-N93-N94</f>
        <v>780803.99999999779</v>
      </c>
      <c r="O95" s="84"/>
      <c r="P95" s="85"/>
    </row>
    <row r="96" spans="1:16" x14ac:dyDescent="0.2">
      <c r="A96" s="267"/>
      <c r="B96" s="272"/>
      <c r="C96" s="267"/>
      <c r="D96" s="272"/>
      <c r="E96" s="272"/>
      <c r="F96" s="267"/>
      <c r="G96" s="301"/>
      <c r="H96" s="301"/>
      <c r="I96" s="302"/>
      <c r="J96" s="285"/>
      <c r="K96" s="286"/>
      <c r="L96" s="287">
        <f>SUM(L93:L95)</f>
        <v>0</v>
      </c>
      <c r="M96" s="287">
        <f>SUM(M93:M95)</f>
        <v>0</v>
      </c>
      <c r="N96" s="287">
        <f>SUM(N93:N95)</f>
        <v>0</v>
      </c>
      <c r="O96" s="84"/>
      <c r="P96" s="85"/>
    </row>
    <row r="97" spans="1:16" x14ac:dyDescent="0.2">
      <c r="A97" s="267"/>
      <c r="B97" s="272"/>
      <c r="C97" s="267"/>
      <c r="D97" s="272"/>
      <c r="E97" s="272"/>
      <c r="F97" s="267"/>
      <c r="G97" s="272"/>
      <c r="H97" s="272"/>
      <c r="I97" s="274"/>
      <c r="J97" s="285"/>
      <c r="K97" s="286"/>
      <c r="L97" s="287"/>
      <c r="M97" s="287"/>
      <c r="N97" s="287"/>
      <c r="O97" s="84"/>
      <c r="P97" s="85"/>
    </row>
    <row r="98" spans="1:16" x14ac:dyDescent="0.2">
      <c r="A98" s="267" t="s">
        <v>32</v>
      </c>
      <c r="B98" s="272" t="s">
        <v>85</v>
      </c>
      <c r="C98" s="267" t="s">
        <v>254</v>
      </c>
      <c r="D98" s="267" t="s">
        <v>90</v>
      </c>
      <c r="E98" s="272" t="s">
        <v>238</v>
      </c>
      <c r="F98" s="273">
        <v>36916</v>
      </c>
      <c r="G98" s="292">
        <f>'ENA #QN5116.1'!D10</f>
        <v>5.742</v>
      </c>
      <c r="H98" s="272">
        <f>+'ENA #QN5116.1'!H10</f>
        <v>5.7069999999999999</v>
      </c>
      <c r="I98" s="274">
        <f>+G98-H98</f>
        <v>3.5000000000000142E-2</v>
      </c>
      <c r="J98" s="275">
        <f>-'ENA #QN5116.1'!F12</f>
        <v>310000</v>
      </c>
      <c r="K98" s="276">
        <f>+J98/31</f>
        <v>10000</v>
      </c>
      <c r="L98" s="277">
        <f>-'ENA #QN5116.1'!I12</f>
        <v>10850.000000000044</v>
      </c>
      <c r="M98" s="277">
        <f>-'ENA #QN5116.1'!J12</f>
        <v>0</v>
      </c>
      <c r="N98" s="277">
        <f>-'ENA #QN5116.1'!K12</f>
        <v>10850.000000000044</v>
      </c>
      <c r="O98" s="91">
        <f>-N98</f>
        <v>-10850.000000000044</v>
      </c>
      <c r="P98" s="85"/>
    </row>
    <row r="99" spans="1:16" x14ac:dyDescent="0.2">
      <c r="A99" s="267" t="s">
        <v>32</v>
      </c>
      <c r="B99" s="272" t="s">
        <v>194</v>
      </c>
      <c r="C99" s="267">
        <v>112980</v>
      </c>
      <c r="D99" s="267" t="s">
        <v>90</v>
      </c>
      <c r="E99" s="272" t="s">
        <v>238</v>
      </c>
      <c r="F99" s="273">
        <v>36916</v>
      </c>
      <c r="G99" s="292">
        <f>+'1129080'!H10</f>
        <v>5.8869999999999996</v>
      </c>
      <c r="H99" s="292">
        <f>+'1129080'!D10</f>
        <v>5.8369999999999997</v>
      </c>
      <c r="I99" s="274">
        <f>+G99-H99</f>
        <v>4.9999999999999822E-2</v>
      </c>
      <c r="J99" s="275">
        <v>-310000</v>
      </c>
      <c r="K99" s="276">
        <f>+J99/31</f>
        <v>-10000</v>
      </c>
      <c r="L99" s="277">
        <f>-'1129080'!I12</f>
        <v>15499.999999999945</v>
      </c>
      <c r="M99" s="277">
        <f>-'1129080'!J12</f>
        <v>0</v>
      </c>
      <c r="N99" s="277">
        <f>-'1129080'!K12</f>
        <v>15499.999999999945</v>
      </c>
      <c r="O99" s="91">
        <f>-N99</f>
        <v>-15499.999999999945</v>
      </c>
      <c r="P99" s="85"/>
    </row>
    <row r="100" spans="1:16" x14ac:dyDescent="0.2">
      <c r="A100" s="267" t="s">
        <v>32</v>
      </c>
      <c r="B100" s="344" t="s">
        <v>284</v>
      </c>
      <c r="C100" s="83" t="s">
        <v>284</v>
      </c>
      <c r="D100" s="267" t="s">
        <v>225</v>
      </c>
      <c r="E100" s="272" t="s">
        <v>238</v>
      </c>
      <c r="F100" s="267"/>
      <c r="G100" s="284"/>
      <c r="H100" s="284"/>
      <c r="I100" s="88"/>
      <c r="J100" s="282"/>
      <c r="K100" s="293"/>
      <c r="L100" s="284">
        <f>-L98-L99</f>
        <v>-26349.999999999989</v>
      </c>
      <c r="M100" s="284">
        <f>-M98-M99</f>
        <v>0</v>
      </c>
      <c r="N100" s="284">
        <f>-N98-N99</f>
        <v>-26349.999999999989</v>
      </c>
      <c r="O100" s="84"/>
      <c r="P100" s="85"/>
    </row>
    <row r="101" spans="1:16" x14ac:dyDescent="0.2">
      <c r="A101" s="83"/>
      <c r="B101" s="84"/>
      <c r="C101" s="83"/>
      <c r="D101" s="84"/>
      <c r="E101" s="84"/>
      <c r="F101" s="83"/>
      <c r="G101" s="91"/>
      <c r="H101" s="91"/>
      <c r="I101" s="91"/>
      <c r="J101" s="94"/>
      <c r="K101" s="138"/>
      <c r="L101" s="100">
        <f>+L98+L99+L100</f>
        <v>0</v>
      </c>
      <c r="M101" s="100">
        <f>+M98+M99+M100</f>
        <v>0</v>
      </c>
      <c r="N101" s="100">
        <f>+N98+N99+N100</f>
        <v>0</v>
      </c>
      <c r="O101" s="84"/>
      <c r="P101" s="85"/>
    </row>
    <row r="102" spans="1:16" x14ac:dyDescent="0.2">
      <c r="A102" s="83"/>
      <c r="B102" s="84"/>
      <c r="C102" s="83"/>
      <c r="D102" s="84"/>
      <c r="E102" s="84"/>
      <c r="F102" s="83"/>
      <c r="G102" s="84"/>
      <c r="H102" s="84"/>
      <c r="I102" s="86"/>
      <c r="J102" s="94"/>
      <c r="K102" s="138"/>
      <c r="L102" s="100"/>
      <c r="M102" s="100"/>
      <c r="N102" s="100"/>
      <c r="O102" s="109"/>
      <c r="P102" s="85"/>
    </row>
    <row r="103" spans="1:16" ht="12" thickBot="1" x14ac:dyDescent="0.25">
      <c r="A103" s="83"/>
      <c r="B103" s="83"/>
      <c r="C103" s="83"/>
      <c r="D103" s="83"/>
      <c r="E103" s="83"/>
      <c r="F103" s="83"/>
      <c r="G103" s="143"/>
      <c r="H103" s="84"/>
      <c r="I103" s="84"/>
      <c r="J103" s="106">
        <f>+J101+J96+J91+J86+J81+J74+J70+J64+J59+J55+J51+J47</f>
        <v>460000</v>
      </c>
      <c r="K103" s="106">
        <f>+K101+K96+K91+K86+K81+K74+K70+K64+K59+K55+K51+K47</f>
        <v>5000</v>
      </c>
      <c r="L103" s="156">
        <f>+L101+L96+L91+L86+L81+L74+L70+L64+L59+L55+L51+L47</f>
        <v>571252.49999999977</v>
      </c>
      <c r="M103" s="156">
        <f>+M101+M96+M91+M86+M81+M74+M70+M64+M59+M55+M51+M47</f>
        <v>-1.7462298274040222E-10</v>
      </c>
      <c r="N103" s="156">
        <f>+N101+N96+N91+N86+N81+N74+N70+N64+N59+N55+N51+N47</f>
        <v>571252.49999999977</v>
      </c>
      <c r="O103" s="156">
        <f>SUM(O36:O102)</f>
        <v>-465550</v>
      </c>
      <c r="P103" s="156">
        <f>SUM(P36:P102)</f>
        <v>26217298.999999985</v>
      </c>
    </row>
    <row r="104" spans="1:16" ht="11.1" customHeight="1" thickTop="1" x14ac:dyDescent="0.2">
      <c r="A104" s="108"/>
      <c r="B104" s="109"/>
      <c r="C104" s="108"/>
      <c r="D104" s="109"/>
      <c r="E104" s="109"/>
      <c r="F104" s="108"/>
      <c r="G104" s="109"/>
      <c r="H104" s="109"/>
      <c r="I104" s="109"/>
      <c r="J104" s="109"/>
      <c r="K104" s="109"/>
      <c r="L104" s="109"/>
      <c r="M104" s="110"/>
      <c r="N104" s="145" t="s">
        <v>92</v>
      </c>
    </row>
    <row r="105" spans="1:16" x14ac:dyDescent="0.2">
      <c r="A105" s="141"/>
      <c r="B105" s="142"/>
      <c r="C105" s="141"/>
      <c r="D105" s="142"/>
      <c r="E105" s="142"/>
      <c r="F105" s="141"/>
      <c r="G105" s="142"/>
      <c r="H105" s="142"/>
      <c r="I105" s="142"/>
      <c r="J105" s="142"/>
      <c r="K105" s="142"/>
      <c r="L105" s="142"/>
      <c r="M105" s="142"/>
      <c r="N105" s="151"/>
      <c r="O105" s="68" t="s">
        <v>282</v>
      </c>
      <c r="P105" s="332">
        <f>+P103+O103</f>
        <v>25751748.999999985</v>
      </c>
    </row>
    <row r="106" spans="1:16" ht="9" customHeight="1" x14ac:dyDescent="0.2">
      <c r="A106" s="290" t="s">
        <v>165</v>
      </c>
      <c r="B106" s="142"/>
      <c r="C106" s="141"/>
      <c r="D106" s="142"/>
      <c r="E106" s="142"/>
      <c r="F106" s="141"/>
      <c r="G106" s="142"/>
      <c r="H106" s="142"/>
      <c r="I106" s="142"/>
      <c r="J106" s="142"/>
      <c r="K106" s="142"/>
      <c r="L106" s="142"/>
      <c r="M106" s="142"/>
      <c r="N106" s="151"/>
    </row>
    <row r="107" spans="1:16" ht="9" customHeight="1" x14ac:dyDescent="0.2">
      <c r="A107" s="141"/>
      <c r="B107" s="142"/>
      <c r="C107" s="141"/>
      <c r="D107" s="142"/>
      <c r="E107" s="142"/>
      <c r="F107" s="141"/>
      <c r="G107" s="142"/>
      <c r="H107" s="142"/>
      <c r="I107" s="142"/>
      <c r="J107" s="142"/>
      <c r="K107" s="142"/>
      <c r="L107" s="142"/>
      <c r="M107" s="142"/>
      <c r="N107" s="151"/>
    </row>
    <row r="108" spans="1:16" ht="9" customHeight="1" x14ac:dyDescent="0.2">
      <c r="A108" s="141"/>
      <c r="B108" s="142"/>
      <c r="C108" s="141"/>
      <c r="D108" s="142"/>
      <c r="E108" s="142"/>
      <c r="F108" s="141"/>
      <c r="G108" s="142"/>
      <c r="H108" s="142"/>
      <c r="I108" s="142"/>
      <c r="J108" s="142"/>
      <c r="K108" s="142"/>
      <c r="L108" s="142"/>
      <c r="M108" s="142"/>
      <c r="N108" s="151"/>
    </row>
    <row r="109" spans="1:16" ht="9" customHeight="1" x14ac:dyDescent="0.2">
      <c r="A109" s="141"/>
      <c r="B109" s="142"/>
      <c r="C109" s="141"/>
      <c r="D109" s="142"/>
      <c r="E109" s="142"/>
      <c r="F109" s="141"/>
      <c r="G109" s="142"/>
      <c r="H109" s="142"/>
      <c r="I109" s="142"/>
      <c r="J109" s="142"/>
      <c r="K109" s="142"/>
      <c r="L109" s="142"/>
      <c r="M109" s="142"/>
      <c r="N109" s="151"/>
    </row>
    <row r="110" spans="1:16" x14ac:dyDescent="0.2">
      <c r="A110" s="347" t="s">
        <v>107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</row>
    <row r="111" spans="1:16" x14ac:dyDescent="0.2">
      <c r="A111" s="348" t="s">
        <v>1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</row>
    <row r="112" spans="1:16" x14ac:dyDescent="0.2">
      <c r="A112" s="111"/>
      <c r="K112" s="142"/>
    </row>
    <row r="113" spans="1:16" x14ac:dyDescent="0.2">
      <c r="A113" s="111"/>
      <c r="K113" s="153"/>
      <c r="O113" s="153"/>
      <c r="P113" s="153"/>
    </row>
    <row r="114" spans="1:16" s="70" customFormat="1" ht="10.5" x14ac:dyDescent="0.15">
      <c r="A114" s="310" t="s">
        <v>2</v>
      </c>
      <c r="B114" s="310" t="s">
        <v>3</v>
      </c>
      <c r="C114" s="310" t="s">
        <v>3</v>
      </c>
      <c r="D114" s="310" t="s">
        <v>3</v>
      </c>
      <c r="E114" s="310" t="s">
        <v>4</v>
      </c>
      <c r="F114" s="310" t="s">
        <v>100</v>
      </c>
      <c r="G114" s="310" t="s">
        <v>3</v>
      </c>
      <c r="H114" s="310" t="s">
        <v>5</v>
      </c>
      <c r="I114" s="310" t="s">
        <v>6</v>
      </c>
      <c r="J114" s="310" t="s">
        <v>3</v>
      </c>
      <c r="K114" s="311" t="s">
        <v>15</v>
      </c>
      <c r="L114" s="319"/>
      <c r="M114" s="312"/>
      <c r="N114" s="320"/>
      <c r="O114" s="339"/>
      <c r="P114" s="340"/>
    </row>
    <row r="115" spans="1:16" s="70" customFormat="1" ht="10.5" x14ac:dyDescent="0.15">
      <c r="A115" s="311" t="s">
        <v>8</v>
      </c>
      <c r="B115" s="311" t="s">
        <v>8</v>
      </c>
      <c r="C115" s="311" t="s">
        <v>9</v>
      </c>
      <c r="D115" s="311" t="s">
        <v>10</v>
      </c>
      <c r="E115" s="311" t="s">
        <v>11</v>
      </c>
      <c r="F115" s="311" t="s">
        <v>45</v>
      </c>
      <c r="G115" s="311" t="s">
        <v>12</v>
      </c>
      <c r="H115" s="311" t="s">
        <v>13</v>
      </c>
      <c r="I115" s="311"/>
      <c r="J115" s="311" t="s">
        <v>14</v>
      </c>
      <c r="K115" s="311"/>
      <c r="L115" s="321" t="s">
        <v>83</v>
      </c>
      <c r="M115" s="314"/>
      <c r="N115" s="322"/>
      <c r="O115" s="341"/>
      <c r="P115" s="329"/>
    </row>
    <row r="116" spans="1:16" s="70" customFormat="1" ht="10.5" x14ac:dyDescent="0.15">
      <c r="A116" s="311"/>
      <c r="B116" s="311"/>
      <c r="C116" s="311"/>
      <c r="D116" s="311"/>
      <c r="E116" s="311"/>
      <c r="F116" s="311"/>
      <c r="G116" s="311"/>
      <c r="H116" s="311" t="s">
        <v>17</v>
      </c>
      <c r="I116" s="311"/>
      <c r="J116" s="311" t="s">
        <v>34</v>
      </c>
      <c r="K116" s="311"/>
      <c r="L116" s="323" t="s">
        <v>19</v>
      </c>
      <c r="M116" s="323" t="s">
        <v>43</v>
      </c>
      <c r="N116" s="324" t="s">
        <v>135</v>
      </c>
      <c r="O116" s="345" t="s">
        <v>283</v>
      </c>
      <c r="P116" s="346"/>
    </row>
    <row r="117" spans="1:16" s="70" customFormat="1" ht="10.5" x14ac:dyDescent="0.15">
      <c r="A117" s="311"/>
      <c r="B117" s="317"/>
      <c r="C117" s="317"/>
      <c r="D117" s="317"/>
      <c r="E117" s="317"/>
      <c r="F117" s="317"/>
      <c r="G117" s="317"/>
      <c r="H117" s="317" t="s">
        <v>22</v>
      </c>
      <c r="I117" s="317"/>
      <c r="J117" s="317" t="s">
        <v>35</v>
      </c>
      <c r="K117" s="325"/>
      <c r="L117" s="326" t="s">
        <v>94</v>
      </c>
      <c r="M117" s="326" t="s">
        <v>94</v>
      </c>
      <c r="N117" s="327" t="s">
        <v>94</v>
      </c>
      <c r="O117" s="342" t="s">
        <v>32</v>
      </c>
      <c r="P117" s="330" t="s">
        <v>25</v>
      </c>
    </row>
    <row r="118" spans="1:16" s="126" customFormat="1" ht="22.5" hidden="1" x14ac:dyDescent="0.2">
      <c r="A118" s="127" t="s">
        <v>32</v>
      </c>
      <c r="B118" s="127" t="s">
        <v>33</v>
      </c>
      <c r="C118" s="127">
        <v>25834</v>
      </c>
      <c r="D118" s="127" t="s">
        <v>27</v>
      </c>
      <c r="E118" s="128" t="s">
        <v>75</v>
      </c>
      <c r="F118" s="125"/>
      <c r="G118" s="129" t="s">
        <v>82</v>
      </c>
      <c r="H118" s="125"/>
      <c r="I118" s="125"/>
      <c r="J118" s="130">
        <f>-Elpaso_6!F15</f>
        <v>15000000</v>
      </c>
      <c r="K118" s="131"/>
      <c r="L118" s="132">
        <f>-Elpaso_6!I15</f>
        <v>-17579999.999999996</v>
      </c>
      <c r="M118" s="133"/>
      <c r="N118" s="134">
        <f>+L118</f>
        <v>-17579999.999999996</v>
      </c>
      <c r="O118" s="125"/>
    </row>
    <row r="119" spans="1:16" s="126" customFormat="1" x14ac:dyDescent="0.2">
      <c r="A119" s="75" t="s">
        <v>32</v>
      </c>
      <c r="B119" s="83" t="s">
        <v>85</v>
      </c>
      <c r="C119" s="127"/>
      <c r="D119" s="83" t="s">
        <v>90</v>
      </c>
      <c r="E119" s="128" t="s">
        <v>93</v>
      </c>
      <c r="F119" s="125"/>
      <c r="G119" s="135">
        <v>3.3</v>
      </c>
      <c r="H119" s="136">
        <f>SUM(Elpaso_6!G9:G13)+SUM(Elpaso_6!H9:H13)/5</f>
        <v>4.47</v>
      </c>
      <c r="I119" s="136">
        <f>+G119-H119</f>
        <v>-1.17</v>
      </c>
      <c r="J119" s="130">
        <v>15000000</v>
      </c>
      <c r="K119" s="130">
        <f>+J119/153</f>
        <v>98039.215686274503</v>
      </c>
      <c r="L119" s="132">
        <f>-Elpaso_6!I15</f>
        <v>-17579999.999999996</v>
      </c>
      <c r="M119" s="133"/>
      <c r="N119" s="134">
        <f>+L119</f>
        <v>-17579999.999999996</v>
      </c>
      <c r="O119" s="334">
        <f>-N119</f>
        <v>17579999.999999996</v>
      </c>
      <c r="P119" s="335"/>
    </row>
    <row r="120" spans="1:16" s="126" customFormat="1" x14ac:dyDescent="0.2">
      <c r="A120" s="83" t="s">
        <v>32</v>
      </c>
      <c r="B120" s="83" t="s">
        <v>33</v>
      </c>
      <c r="C120" s="127"/>
      <c r="D120" s="83" t="s">
        <v>90</v>
      </c>
      <c r="E120" s="128" t="s">
        <v>93</v>
      </c>
      <c r="F120" s="125"/>
      <c r="G120" s="296">
        <v>2.3199999999999998</v>
      </c>
      <c r="H120" s="297">
        <f>SUM(Elpaso_6!G17:G21)+SUM(Elpaso_6!H17:H21)/5</f>
        <v>4.47</v>
      </c>
      <c r="I120" s="297">
        <f>+G120-H120</f>
        <v>-2.15</v>
      </c>
      <c r="J120" s="140">
        <v>-15000000</v>
      </c>
      <c r="K120" s="140">
        <f>+J120/153</f>
        <v>-98039.215686274503</v>
      </c>
      <c r="L120" s="139">
        <f>-Elpaso_6!I23</f>
        <v>32280000</v>
      </c>
      <c r="M120" s="133"/>
      <c r="N120" s="139">
        <f>+L120</f>
        <v>32280000</v>
      </c>
      <c r="O120" s="269">
        <f>-N120</f>
        <v>-32280000</v>
      </c>
      <c r="P120" s="316"/>
    </row>
    <row r="121" spans="1:16" s="126" customFormat="1" x14ac:dyDescent="0.2">
      <c r="A121" s="83"/>
      <c r="B121" s="83"/>
      <c r="C121" s="127"/>
      <c r="D121" s="127"/>
      <c r="E121" s="128"/>
      <c r="F121" s="125"/>
      <c r="G121" s="135"/>
      <c r="H121" s="136"/>
      <c r="I121" s="136"/>
      <c r="J121" s="130">
        <f>+J119+J120</f>
        <v>0</v>
      </c>
      <c r="K121" s="130">
        <f>+J121/153</f>
        <v>0</v>
      </c>
      <c r="L121" s="132">
        <f>+L120+L119</f>
        <v>14700000.000000004</v>
      </c>
      <c r="M121" s="133"/>
      <c r="N121" s="134">
        <f>+N120+N119</f>
        <v>14700000.000000004</v>
      </c>
      <c r="O121" s="268"/>
      <c r="P121" s="316"/>
    </row>
    <row r="122" spans="1:16" s="126" customFormat="1" x14ac:dyDescent="0.2">
      <c r="A122" s="83"/>
      <c r="B122" s="83"/>
      <c r="C122" s="127"/>
      <c r="D122" s="127"/>
      <c r="E122" s="128"/>
      <c r="F122" s="125"/>
      <c r="G122" s="135"/>
      <c r="H122" s="136"/>
      <c r="I122" s="136"/>
      <c r="J122" s="130"/>
      <c r="K122" s="130"/>
      <c r="L122" s="132"/>
      <c r="M122" s="133"/>
      <c r="N122" s="137"/>
      <c r="O122" s="268"/>
      <c r="P122" s="316"/>
    </row>
    <row r="123" spans="1:16" s="126" customFormat="1" x14ac:dyDescent="0.2">
      <c r="A123" s="267" t="s">
        <v>32</v>
      </c>
      <c r="B123" s="267" t="s">
        <v>98</v>
      </c>
      <c r="C123" s="125"/>
      <c r="D123" s="267" t="s">
        <v>90</v>
      </c>
      <c r="E123" s="180" t="s">
        <v>130</v>
      </c>
      <c r="F123" s="125"/>
      <c r="G123" s="135">
        <v>0.94</v>
      </c>
      <c r="H123" s="135">
        <v>0.9</v>
      </c>
      <c r="I123" s="135">
        <v>0.04</v>
      </c>
      <c r="J123" s="130">
        <f>+[4]Summary!$F$36</f>
        <v>62401635.288479991</v>
      </c>
      <c r="K123" s="130">
        <f>+J123/730</f>
        <v>85481.692175999982</v>
      </c>
      <c r="L123" s="132">
        <f>-[4]Summary!$I$36</f>
        <v>1577186.1276234803</v>
      </c>
      <c r="M123" s="132">
        <f>-[4]Summary!$J$36</f>
        <v>194844.43213000137</v>
      </c>
      <c r="N123" s="134">
        <f>-[4]Summary!$K$36</f>
        <v>1382341.6954934788</v>
      </c>
      <c r="O123" s="269">
        <f>-N123</f>
        <v>-1382341.6954934788</v>
      </c>
      <c r="P123" s="316"/>
    </row>
    <row r="124" spans="1:16" s="126" customFormat="1" x14ac:dyDescent="0.2">
      <c r="A124" s="83" t="s">
        <v>32</v>
      </c>
      <c r="B124" s="267" t="s">
        <v>98</v>
      </c>
      <c r="C124" s="180" t="s">
        <v>187</v>
      </c>
      <c r="D124" s="83" t="s">
        <v>90</v>
      </c>
      <c r="E124" s="180" t="s">
        <v>188</v>
      </c>
      <c r="F124" s="224">
        <v>36894</v>
      </c>
      <c r="G124" s="254">
        <f>SUM('SW17'!D6:D16)/11</f>
        <v>4.0078181818181822</v>
      </c>
      <c r="H124" s="254">
        <f>SUM('SW17'!G20:G30)/11</f>
        <v>3.4627272727272729</v>
      </c>
      <c r="I124" s="254">
        <f>+G124-H124</f>
        <v>0.54509090909090929</v>
      </c>
      <c r="J124" s="130">
        <f>+'SW17'!F35</f>
        <v>6680000</v>
      </c>
      <c r="K124" s="130">
        <f>+J124/334</f>
        <v>20000</v>
      </c>
      <c r="L124" s="134">
        <f>-'SW17'!I37</f>
        <v>6132920</v>
      </c>
      <c r="M124" s="134">
        <f>-'SW17'!J37</f>
        <v>0</v>
      </c>
      <c r="N124" s="134">
        <f>-'SW17'!K37</f>
        <v>6132920</v>
      </c>
      <c r="O124" s="269">
        <f>-N124</f>
        <v>-6132920</v>
      </c>
      <c r="P124" s="316"/>
    </row>
    <row r="125" spans="1:16" s="126" customFormat="1" x14ac:dyDescent="0.2">
      <c r="A125" s="83" t="s">
        <v>32</v>
      </c>
      <c r="B125" s="267" t="s">
        <v>98</v>
      </c>
      <c r="C125" s="180" t="s">
        <v>189</v>
      </c>
      <c r="D125" s="83" t="s">
        <v>90</v>
      </c>
      <c r="E125" s="180" t="s">
        <v>188</v>
      </c>
      <c r="F125" s="224">
        <v>36894</v>
      </c>
      <c r="G125" s="257">
        <f>SUM('SW18'!D6:D16)/11</f>
        <v>3.9454545454545458</v>
      </c>
      <c r="H125" s="257">
        <f>SUM('SW18'!G20:G30)/11</f>
        <v>3.4627272727272729</v>
      </c>
      <c r="I125" s="257">
        <f>+G125-H125</f>
        <v>0.48272727272727289</v>
      </c>
      <c r="J125" s="252">
        <f>+'SW17'!F8</f>
        <v>0</v>
      </c>
      <c r="K125" s="140">
        <f>+J125/334</f>
        <v>0</v>
      </c>
      <c r="L125" s="139">
        <f>-'SW18'!I38</f>
        <v>-5478280</v>
      </c>
      <c r="M125" s="139">
        <f>-'SW18'!J38</f>
        <v>0</v>
      </c>
      <c r="N125" s="139">
        <f>-'SW18'!K38</f>
        <v>-5478280</v>
      </c>
      <c r="O125" s="269">
        <f>-N125</f>
        <v>5478280</v>
      </c>
      <c r="P125" s="316"/>
    </row>
    <row r="126" spans="1:16" s="126" customFormat="1" x14ac:dyDescent="0.2">
      <c r="A126" s="83"/>
      <c r="B126" s="267"/>
      <c r="C126" s="125"/>
      <c r="D126" s="83"/>
      <c r="E126" s="180"/>
      <c r="F126" s="125"/>
      <c r="G126" s="254">
        <f>+G124-G125</f>
        <v>6.2363636363636399E-2</v>
      </c>
      <c r="H126" s="254">
        <f>+H124-H125</f>
        <v>0</v>
      </c>
      <c r="I126" s="254">
        <f>+I124-I125</f>
        <v>6.2363636363636399E-2</v>
      </c>
      <c r="J126" s="130">
        <f>SUM(J123:J125)</f>
        <v>69081635.288479984</v>
      </c>
      <c r="K126" s="130">
        <f>SUM(K123:K125)</f>
        <v>105481.69217599998</v>
      </c>
      <c r="L126" s="134">
        <f>SUM(L123:L125)</f>
        <v>2231826.1276234798</v>
      </c>
      <c r="M126" s="134">
        <f>SUM(M123:M125)</f>
        <v>194844.43213000137</v>
      </c>
      <c r="N126" s="134">
        <f>SUM(N123:N125)</f>
        <v>2036981.6954934783</v>
      </c>
      <c r="O126" s="268"/>
      <c r="P126" s="336"/>
    </row>
    <row r="127" spans="1:16" s="126" customFormat="1" x14ac:dyDescent="0.2">
      <c r="A127" s="267"/>
      <c r="B127" s="267"/>
      <c r="C127" s="125"/>
      <c r="D127" s="267"/>
      <c r="E127" s="180"/>
      <c r="F127" s="125"/>
      <c r="G127" s="135"/>
      <c r="H127" s="135"/>
      <c r="I127" s="135"/>
      <c r="J127" s="130"/>
      <c r="K127" s="130"/>
      <c r="L127" s="134"/>
      <c r="M127" s="215"/>
      <c r="N127" s="215"/>
      <c r="O127" s="268"/>
      <c r="P127" s="316"/>
    </row>
    <row r="128" spans="1:16" s="126" customFormat="1" x14ac:dyDescent="0.2">
      <c r="A128" s="267" t="s">
        <v>32</v>
      </c>
      <c r="B128" s="267" t="s">
        <v>31</v>
      </c>
      <c r="C128" s="180" t="s">
        <v>164</v>
      </c>
      <c r="D128" s="267" t="s">
        <v>90</v>
      </c>
      <c r="E128" s="180" t="s">
        <v>163</v>
      </c>
      <c r="F128" s="224">
        <v>36837</v>
      </c>
      <c r="G128" s="135"/>
      <c r="H128" s="135"/>
      <c r="I128" s="135"/>
      <c r="J128" s="130"/>
      <c r="K128" s="130"/>
      <c r="L128" s="134">
        <f>-'M337849'!H36</f>
        <v>-32239.137539999974</v>
      </c>
      <c r="M128" s="215">
        <f>-'M337849'!I36</f>
        <v>-1823.8000000000102</v>
      </c>
      <c r="N128" s="215">
        <f>-'M337849'!J36</f>
        <v>-30415.337539999964</v>
      </c>
      <c r="O128" s="269">
        <f>-N128</f>
        <v>30415.337539999964</v>
      </c>
      <c r="P128" s="316"/>
    </row>
    <row r="129" spans="1:16" s="126" customFormat="1" x14ac:dyDescent="0.2">
      <c r="A129" s="83"/>
      <c r="B129" s="267"/>
      <c r="C129" s="125"/>
      <c r="D129" s="83"/>
      <c r="E129" s="180"/>
      <c r="F129" s="125"/>
      <c r="G129" s="135"/>
      <c r="H129" s="135"/>
      <c r="I129" s="135"/>
      <c r="J129" s="130"/>
      <c r="K129" s="130"/>
      <c r="L129" s="134"/>
      <c r="M129" s="215"/>
      <c r="N129" s="215"/>
      <c r="O129" s="269"/>
      <c r="P129" s="316"/>
    </row>
    <row r="130" spans="1:16" s="126" customFormat="1" x14ac:dyDescent="0.2">
      <c r="A130" s="83" t="s">
        <v>32</v>
      </c>
      <c r="B130" s="267" t="s">
        <v>183</v>
      </c>
      <c r="C130" s="180">
        <v>12007624</v>
      </c>
      <c r="D130" s="83" t="s">
        <v>90</v>
      </c>
      <c r="E130" s="180" t="s">
        <v>182</v>
      </c>
      <c r="F130" s="224">
        <v>36901</v>
      </c>
      <c r="G130" s="254">
        <f>+'12007624'!D10</f>
        <v>4.63</v>
      </c>
      <c r="H130" s="254">
        <f>+'12007624'!G14</f>
        <v>4.59</v>
      </c>
      <c r="I130" s="254">
        <f>+G130-H130</f>
        <v>4.0000000000000036E-2</v>
      </c>
      <c r="J130" s="130">
        <v>500000</v>
      </c>
      <c r="K130" s="130">
        <f>+J130/30</f>
        <v>16666.666666666668</v>
      </c>
      <c r="L130" s="134">
        <f>-'12007624'!I19</f>
        <v>20000</v>
      </c>
      <c r="M130" s="134">
        <f>-'12007624'!J19</f>
        <v>0</v>
      </c>
      <c r="N130" s="134">
        <f>-'12007624'!K19</f>
        <v>20000</v>
      </c>
      <c r="O130" s="269">
        <f>-N130</f>
        <v>-20000</v>
      </c>
      <c r="P130" s="316"/>
    </row>
    <row r="131" spans="1:16" s="126" customFormat="1" x14ac:dyDescent="0.2">
      <c r="A131" s="83" t="s">
        <v>32</v>
      </c>
      <c r="B131" s="267" t="s">
        <v>160</v>
      </c>
      <c r="C131" s="180" t="s">
        <v>181</v>
      </c>
      <c r="D131" s="83" t="s">
        <v>90</v>
      </c>
      <c r="E131" s="180" t="s">
        <v>182</v>
      </c>
      <c r="F131" s="224">
        <v>36901</v>
      </c>
      <c r="G131" s="258">
        <f>+'QK7503.1'!G14</f>
        <v>4.59</v>
      </c>
      <c r="H131" s="258">
        <f>+'QK7503.1'!D10</f>
        <v>4.58</v>
      </c>
      <c r="I131" s="257">
        <f>+G131-H131</f>
        <v>9.9999999999997868E-3</v>
      </c>
      <c r="J131" s="252">
        <v>-500000</v>
      </c>
      <c r="K131" s="252">
        <f>+J131/30</f>
        <v>-16666.666666666668</v>
      </c>
      <c r="L131" s="253">
        <f>-'QK7503.1'!I19</f>
        <v>5000</v>
      </c>
      <c r="M131" s="253">
        <f>-'QK7503.1'!J19</f>
        <v>0</v>
      </c>
      <c r="N131" s="253">
        <f>-'QK7503.1'!K19</f>
        <v>5000</v>
      </c>
      <c r="O131" s="269">
        <f>-N131</f>
        <v>-5000</v>
      </c>
      <c r="P131" s="316"/>
    </row>
    <row r="132" spans="1:16" s="126" customFormat="1" x14ac:dyDescent="0.2">
      <c r="A132" s="83"/>
      <c r="B132" s="267"/>
      <c r="C132" s="125"/>
      <c r="D132" s="83"/>
      <c r="E132" s="180"/>
      <c r="F132" s="125"/>
      <c r="G132" s="135">
        <f>+G130-G131</f>
        <v>4.0000000000000036E-2</v>
      </c>
      <c r="H132" s="135">
        <f>+H130-H131</f>
        <v>9.9999999999997868E-3</v>
      </c>
      <c r="I132" s="135">
        <f t="shared" ref="I132:N132" si="7">SUM(I130:I131)</f>
        <v>4.9999999999999822E-2</v>
      </c>
      <c r="J132" s="130">
        <f t="shared" si="7"/>
        <v>0</v>
      </c>
      <c r="K132" s="130">
        <f t="shared" si="7"/>
        <v>0</v>
      </c>
      <c r="L132" s="134">
        <f t="shared" si="7"/>
        <v>25000</v>
      </c>
      <c r="M132" s="134">
        <f t="shared" si="7"/>
        <v>0</v>
      </c>
      <c r="N132" s="134">
        <f t="shared" si="7"/>
        <v>25000</v>
      </c>
      <c r="O132" s="269"/>
      <c r="P132" s="316"/>
    </row>
    <row r="133" spans="1:16" s="126" customFormat="1" x14ac:dyDescent="0.2">
      <c r="A133" s="83"/>
      <c r="B133" s="267"/>
      <c r="C133" s="125"/>
      <c r="D133" s="83"/>
      <c r="E133" s="180"/>
      <c r="F133" s="125"/>
      <c r="G133" s="135"/>
      <c r="H133" s="135"/>
      <c r="I133" s="135"/>
      <c r="J133" s="130"/>
      <c r="K133" s="130"/>
      <c r="L133" s="134"/>
      <c r="M133" s="215"/>
      <c r="N133" s="215"/>
      <c r="O133" s="269"/>
      <c r="P133" s="316"/>
    </row>
    <row r="134" spans="1:16" s="126" customFormat="1" x14ac:dyDescent="0.2">
      <c r="A134" s="83" t="s">
        <v>25</v>
      </c>
      <c r="B134" s="267" t="s">
        <v>85</v>
      </c>
      <c r="C134" s="180" t="s">
        <v>287</v>
      </c>
      <c r="D134" s="83" t="s">
        <v>90</v>
      </c>
      <c r="E134" s="180" t="s">
        <v>250</v>
      </c>
      <c r="F134" s="224">
        <v>36866</v>
      </c>
      <c r="G134" s="135">
        <f>SUM('Cal 02.a'!D10:D21)/12</f>
        <v>4.5</v>
      </c>
      <c r="H134" s="135">
        <f>SUM('Cal 02.a'!H10:H21)/12</f>
        <v>4.7604166666666679</v>
      </c>
      <c r="I134" s="135">
        <f>+G134-H134</f>
        <v>-0.26041666666666785</v>
      </c>
      <c r="J134" s="130">
        <f>-'Cal 02.a'!F22</f>
        <v>-1825000</v>
      </c>
      <c r="K134" s="130">
        <f>+J134/365</f>
        <v>-5000</v>
      </c>
      <c r="L134" s="134">
        <f>-'Cal 02.a'!I22</f>
        <v>-469825.00000000035</v>
      </c>
      <c r="M134" s="134">
        <f>-'Cal 02.a'!J22</f>
        <v>0</v>
      </c>
      <c r="N134" s="134">
        <f>-'Cal 02.a'!K22</f>
        <v>-469825.00000000035</v>
      </c>
      <c r="O134" s="269"/>
      <c r="P134" s="336">
        <f>-N134</f>
        <v>469825.00000000035</v>
      </c>
    </row>
    <row r="135" spans="1:16" s="126" customFormat="1" x14ac:dyDescent="0.2">
      <c r="A135" s="83" t="s">
        <v>25</v>
      </c>
      <c r="B135" s="267" t="s">
        <v>85</v>
      </c>
      <c r="C135" s="180" t="s">
        <v>287</v>
      </c>
      <c r="D135" s="83" t="s">
        <v>90</v>
      </c>
      <c r="E135" s="180" t="s">
        <v>250</v>
      </c>
      <c r="F135" s="224">
        <v>36867</v>
      </c>
      <c r="G135" s="253">
        <f>SUM('Cal 02.b'!D10:D21)/12</f>
        <v>4.43</v>
      </c>
      <c r="H135" s="253">
        <f>SUM('Cal 02.b'!H10:H21)/12</f>
        <v>4.7604166666666679</v>
      </c>
      <c r="I135" s="253">
        <f>+G135-H135</f>
        <v>-0.33041666666666814</v>
      </c>
      <c r="J135" s="252">
        <f>-'Cal 02.b'!F22</f>
        <v>1825000</v>
      </c>
      <c r="K135" s="140">
        <f>+J135/365</f>
        <v>5000</v>
      </c>
      <c r="L135" s="139">
        <f>-'Cal 02.b'!I22</f>
        <v>597575.00000000093</v>
      </c>
      <c r="M135" s="139">
        <f>-'Cal 02.b'!J22</f>
        <v>0</v>
      </c>
      <c r="N135" s="139">
        <f>-'Cal 02.b'!K22</f>
        <v>597575.00000000093</v>
      </c>
      <c r="O135" s="269"/>
      <c r="P135" s="336">
        <f>-N135</f>
        <v>-597575.00000000093</v>
      </c>
    </row>
    <row r="136" spans="1:16" s="126" customFormat="1" x14ac:dyDescent="0.2">
      <c r="A136" s="83"/>
      <c r="B136" s="267"/>
      <c r="C136" s="125"/>
      <c r="D136" s="83"/>
      <c r="E136" s="180"/>
      <c r="F136" s="125"/>
      <c r="G136" s="135">
        <f>+G134-G135</f>
        <v>7.0000000000000284E-2</v>
      </c>
      <c r="H136" s="135">
        <f>+H134-H135</f>
        <v>0</v>
      </c>
      <c r="I136" s="135">
        <f>+I134-I135</f>
        <v>7.0000000000000284E-2</v>
      </c>
      <c r="J136" s="130">
        <f>+J134+J135</f>
        <v>0</v>
      </c>
      <c r="K136" s="130">
        <f>+K134+K135</f>
        <v>0</v>
      </c>
      <c r="L136" s="134">
        <f>+L135+L134</f>
        <v>127750.00000000058</v>
      </c>
      <c r="M136" s="134">
        <f>+M135+M134</f>
        <v>0</v>
      </c>
      <c r="N136" s="134">
        <f>+N135+N134</f>
        <v>127750.00000000058</v>
      </c>
      <c r="O136" s="337"/>
      <c r="P136" s="316"/>
    </row>
    <row r="137" spans="1:16" x14ac:dyDescent="0.2">
      <c r="A137" s="83"/>
      <c r="B137" s="83"/>
      <c r="C137" s="83"/>
      <c r="D137" s="85"/>
      <c r="E137" s="85"/>
      <c r="F137" s="141"/>
      <c r="G137" s="84"/>
      <c r="H137" s="85"/>
      <c r="I137" s="174"/>
      <c r="J137" s="157"/>
      <c r="K137" s="138"/>
      <c r="L137" s="100"/>
      <c r="M137" s="100"/>
      <c r="N137" s="198"/>
      <c r="O137" s="264"/>
      <c r="P137" s="85"/>
    </row>
    <row r="138" spans="1:16" ht="12" thickBot="1" x14ac:dyDescent="0.25">
      <c r="A138" s="83"/>
      <c r="B138" s="83"/>
      <c r="C138" s="83"/>
      <c r="D138" s="152"/>
      <c r="E138" s="85"/>
      <c r="F138" s="142"/>
      <c r="G138" s="84"/>
      <c r="H138" s="85"/>
      <c r="I138" s="85"/>
      <c r="J138" s="106">
        <f>+J132+J128+J126+J121+J136</f>
        <v>69081635.288479984</v>
      </c>
      <c r="K138" s="106">
        <f>+K132+K128+K126+K121+K136</f>
        <v>105481.69217599998</v>
      </c>
      <c r="L138" s="156">
        <f>+L132+L128+L126+L121+L136</f>
        <v>17052336.990083482</v>
      </c>
      <c r="M138" s="156">
        <f>+M132+M128+M126+M121+M136</f>
        <v>193020.63213000135</v>
      </c>
      <c r="N138" s="156">
        <f>+N132+N128+N126+N121+N136</f>
        <v>16859316.357953481</v>
      </c>
      <c r="O138" s="333">
        <f>SUM(O119:O137)</f>
        <v>-16731566.357953481</v>
      </c>
      <c r="P138" s="343">
        <f>SUM(P119:P137)</f>
        <v>-127750.00000000058</v>
      </c>
    </row>
    <row r="139" spans="1:16" ht="12" thickTop="1" x14ac:dyDescent="0.2">
      <c r="A139" s="108"/>
      <c r="B139" s="108"/>
      <c r="C139" s="108"/>
      <c r="D139" s="199"/>
      <c r="E139" s="110"/>
      <c r="F139" s="153"/>
      <c r="G139" s="109"/>
      <c r="H139" s="110"/>
      <c r="I139" s="110"/>
      <c r="J139" s="154"/>
      <c r="K139" s="154"/>
      <c r="L139" s="200"/>
      <c r="M139" s="200"/>
      <c r="N139" s="200"/>
      <c r="O139" s="338"/>
      <c r="P139" s="110"/>
    </row>
    <row r="140" spans="1:16" x14ac:dyDescent="0.2">
      <c r="A140" s="142"/>
      <c r="B140" s="142"/>
      <c r="C140" s="141"/>
      <c r="D140" s="142"/>
      <c r="E140" s="142"/>
      <c r="F140" s="142"/>
      <c r="G140" s="142"/>
      <c r="H140" s="142"/>
      <c r="I140" s="142"/>
      <c r="J140" s="149"/>
      <c r="K140" s="149"/>
      <c r="L140" s="150"/>
      <c r="M140" s="150"/>
      <c r="N140" s="150"/>
    </row>
    <row r="141" spans="1:16" ht="12" customHeight="1" x14ac:dyDescent="0.2">
      <c r="A141" s="29" t="s">
        <v>231</v>
      </c>
      <c r="B141" s="29"/>
      <c r="C141" s="271"/>
      <c r="D141" s="29"/>
      <c r="E141" s="29"/>
      <c r="L141" s="69" t="s">
        <v>222</v>
      </c>
      <c r="O141" s="270"/>
      <c r="P141" s="270">
        <v>16116710.369999999</v>
      </c>
    </row>
    <row r="142" spans="1:16" x14ac:dyDescent="0.2">
      <c r="A142" s="29" t="s">
        <v>232</v>
      </c>
      <c r="B142" s="29"/>
      <c r="C142" s="271"/>
      <c r="D142" s="29"/>
      <c r="E142" s="29"/>
      <c r="L142" s="69" t="s">
        <v>239</v>
      </c>
    </row>
    <row r="143" spans="1:16" x14ac:dyDescent="0.2">
      <c r="A143" s="29"/>
      <c r="B143" s="29"/>
      <c r="C143" s="271"/>
      <c r="D143" s="29"/>
      <c r="E143" s="29"/>
      <c r="L143" s="69" t="s">
        <v>230</v>
      </c>
      <c r="O143" s="270">
        <v>497.32</v>
      </c>
      <c r="P143" s="270"/>
    </row>
    <row r="144" spans="1:16" x14ac:dyDescent="0.2">
      <c r="A144" s="29" t="s">
        <v>233</v>
      </c>
      <c r="B144" s="29"/>
      <c r="C144" s="271"/>
      <c r="D144" s="29"/>
      <c r="E144" s="29"/>
      <c r="L144" s="69" t="s">
        <v>240</v>
      </c>
      <c r="O144" s="270">
        <f>+N132+N124+N125+N136</f>
        <v>807390.00000000058</v>
      </c>
      <c r="P144" s="270"/>
    </row>
    <row r="145" spans="1:16" x14ac:dyDescent="0.2">
      <c r="A145" s="29" t="s">
        <v>234</v>
      </c>
      <c r="B145" s="29"/>
      <c r="C145" s="271"/>
      <c r="D145" s="29"/>
      <c r="E145" s="29"/>
      <c r="L145" s="69" t="s">
        <v>241</v>
      </c>
      <c r="O145" s="288">
        <f>-M138+129018.64-1279.34</f>
        <v>-65281.332130001349</v>
      </c>
      <c r="P145" s="201">
        <f>SUM(O143:O145)</f>
        <v>742605.98786999914</v>
      </c>
    </row>
    <row r="146" spans="1:16" x14ac:dyDescent="0.2">
      <c r="A146" s="29"/>
      <c r="B146" s="29"/>
      <c r="C146" s="271"/>
      <c r="D146" s="29"/>
      <c r="E146" s="29"/>
      <c r="P146" s="153"/>
    </row>
    <row r="147" spans="1:16" x14ac:dyDescent="0.2">
      <c r="L147" s="69" t="s">
        <v>223</v>
      </c>
      <c r="O147" s="270"/>
      <c r="P147" s="298">
        <f>+P145+P141</f>
        <v>16859316.357869998</v>
      </c>
    </row>
    <row r="148" spans="1:16" x14ac:dyDescent="0.2">
      <c r="L148" s="69" t="s">
        <v>242</v>
      </c>
      <c r="O148" s="270"/>
      <c r="P148" s="151">
        <f>-O103-P103</f>
        <v>-25751748.999999985</v>
      </c>
    </row>
    <row r="149" spans="1:16" ht="12" thickBot="1" x14ac:dyDescent="0.25">
      <c r="N149" s="69" t="s">
        <v>243</v>
      </c>
      <c r="O149" s="270"/>
      <c r="P149" s="289">
        <f>+P147+P148</f>
        <v>-8892432.6421299875</v>
      </c>
    </row>
    <row r="150" spans="1:16" ht="12" thickTop="1" x14ac:dyDescent="0.2"/>
  </sheetData>
  <mergeCells count="9">
    <mergeCell ref="O116:P116"/>
    <mergeCell ref="A110:O110"/>
    <mergeCell ref="A111:O111"/>
    <mergeCell ref="A1:O1"/>
    <mergeCell ref="A2:O2"/>
    <mergeCell ref="A3:O3"/>
    <mergeCell ref="A5:O5"/>
    <mergeCell ref="A7:O7"/>
    <mergeCell ref="O11:P11"/>
  </mergeCells>
  <printOptions horizontalCentered="1" verticalCentered="1"/>
  <pageMargins left="0.25" right="0.25" top="0.25" bottom="0.35" header="0.5" footer="0.22"/>
  <pageSetup scale="55" fitToHeight="2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  <rowBreaks count="1" manualBreakCount="1">
    <brk id="10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D5" workbookViewId="0">
      <selection activeCell="H12" sqref="H12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152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151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0.75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36892</v>
      </c>
      <c r="B10" s="15"/>
      <c r="C10" s="16" t="s">
        <v>85</v>
      </c>
      <c r="D10" s="32">
        <f>9.98+D9</f>
        <v>10.73</v>
      </c>
      <c r="E10" s="15"/>
      <c r="F10" s="18">
        <f>-5000*31</f>
        <v>-155000</v>
      </c>
      <c r="G10" s="32">
        <f>+D10-H10</f>
        <v>0.21000000000000085</v>
      </c>
      <c r="H10" s="32">
        <v>10.52</v>
      </c>
      <c r="I10" s="17">
        <f>SUM(+D10-H10)*F10</f>
        <v>-32550.000000000131</v>
      </c>
      <c r="J10" s="41">
        <f>+I10</f>
        <v>-32550.000000000131</v>
      </c>
      <c r="K10" s="41"/>
    </row>
    <row r="11" spans="1:12" x14ac:dyDescent="0.2">
      <c r="A11" s="31">
        <v>36923</v>
      </c>
      <c r="B11" s="15"/>
      <c r="C11" s="16" t="s">
        <v>85</v>
      </c>
      <c r="D11" s="32">
        <f>+D9+'[3]Henry Hub'!$E$12</f>
        <v>7.0430000000000001</v>
      </c>
      <c r="E11" s="15"/>
      <c r="F11" s="18">
        <f>-5000*28</f>
        <v>-140000</v>
      </c>
      <c r="G11" s="32">
        <f>+D11-H11</f>
        <v>0.62000000000000011</v>
      </c>
      <c r="H11" s="32">
        <f>+[3]Demarc!$E12</f>
        <v>6.423</v>
      </c>
      <c r="I11" s="17">
        <f>SUM(+D11-H11)*F11</f>
        <v>-86800.000000000015</v>
      </c>
      <c r="J11" s="41"/>
      <c r="K11" s="41">
        <f>+I11</f>
        <v>-86800.000000000015</v>
      </c>
    </row>
    <row r="12" spans="1:12" x14ac:dyDescent="0.2">
      <c r="A12" s="31">
        <v>36951</v>
      </c>
      <c r="B12" s="15"/>
      <c r="C12" s="16" t="s">
        <v>85</v>
      </c>
      <c r="D12" s="32">
        <f>+D9+'[3]Henry Hub'!$E$13</f>
        <v>6.4569999999999999</v>
      </c>
      <c r="E12" s="15"/>
      <c r="F12" s="18">
        <f>-5000*31</f>
        <v>-155000</v>
      </c>
      <c r="G12" s="32">
        <f>+D12-H12</f>
        <v>0.62000000000000011</v>
      </c>
      <c r="H12" s="32">
        <f>+[3]Demarc!$E13</f>
        <v>5.8369999999999997</v>
      </c>
      <c r="I12" s="17">
        <f>SUM(+D12-H12)*F12</f>
        <v>-96100.000000000015</v>
      </c>
      <c r="J12" s="39"/>
      <c r="K12" s="41">
        <f>+I12</f>
        <v>-96100.000000000015</v>
      </c>
    </row>
    <row r="13" spans="1:12" x14ac:dyDescent="0.2">
      <c r="A13" s="31"/>
      <c r="B13" s="15"/>
      <c r="C13" s="16"/>
      <c r="D13" s="32"/>
      <c r="E13" s="15"/>
      <c r="F13" s="65"/>
      <c r="G13" s="36">
        <f>SUM(G10:G12)/3</f>
        <v>0.48333333333333367</v>
      </c>
      <c r="H13" s="32"/>
      <c r="I13" s="66"/>
      <c r="J13" s="26"/>
      <c r="K13" s="67"/>
    </row>
    <row r="14" spans="1:12" x14ac:dyDescent="0.2">
      <c r="A14" s="31"/>
      <c r="B14" s="15"/>
      <c r="C14" s="16"/>
      <c r="D14" s="32">
        <f>SUM(D10:D12)/3</f>
        <v>8.0766666666666662</v>
      </c>
      <c r="E14" s="15"/>
      <c r="F14" s="18">
        <f>SUM(F10:F13)</f>
        <v>-450000</v>
      </c>
      <c r="G14" s="15"/>
      <c r="H14" s="32">
        <f>SUM(H10:H12)/3</f>
        <v>7.5933333333333328</v>
      </c>
      <c r="I14" s="17">
        <f>SUM(I10:I13)</f>
        <v>-215450.00000000017</v>
      </c>
      <c r="J14" s="17">
        <f>SUM(J10:J13)</f>
        <v>-32550.000000000131</v>
      </c>
      <c r="K14" s="17">
        <f>SUM(K10:K13)</f>
        <v>-182900.00000000003</v>
      </c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351" t="s">
        <v>146</v>
      </c>
      <c r="H16" s="352"/>
      <c r="I16" s="17"/>
      <c r="J16" s="39"/>
      <c r="K16" s="19"/>
    </row>
    <row r="17" spans="1:11" x14ac:dyDescent="0.2">
      <c r="A17" s="31"/>
      <c r="B17" s="15"/>
      <c r="C17" s="16"/>
      <c r="D17" s="32"/>
      <c r="E17" s="15"/>
      <c r="F17" s="18"/>
      <c r="G17" s="353" t="s">
        <v>147</v>
      </c>
      <c r="H17" s="354"/>
      <c r="I17" s="17"/>
      <c r="J17" s="39"/>
      <c r="K17" s="19"/>
    </row>
    <row r="18" spans="1:11" x14ac:dyDescent="0.2">
      <c r="A18" s="31"/>
      <c r="B18" s="15"/>
      <c r="C18" s="16"/>
      <c r="D18" s="32"/>
      <c r="E18" s="15"/>
      <c r="F18" s="18"/>
      <c r="G18" s="351" t="s">
        <v>169</v>
      </c>
      <c r="H18" s="352"/>
      <c r="I18" s="17"/>
      <c r="J18" s="39"/>
      <c r="K18" s="19"/>
    </row>
    <row r="19" spans="1:11" x14ac:dyDescent="0.2">
      <c r="A19" s="31"/>
      <c r="B19" s="15"/>
      <c r="C19" s="16"/>
      <c r="D19" s="32"/>
      <c r="E19" s="15"/>
      <c r="F19" s="18"/>
      <c r="G19" s="209" t="s">
        <v>148</v>
      </c>
      <c r="H19" s="213" t="s">
        <v>149</v>
      </c>
      <c r="I19" s="17"/>
      <c r="J19" s="39"/>
      <c r="K19" s="19"/>
    </row>
    <row r="20" spans="1:11" x14ac:dyDescent="0.2">
      <c r="A20" s="31">
        <v>36892</v>
      </c>
      <c r="B20" s="15"/>
      <c r="C20" s="16" t="s">
        <v>144</v>
      </c>
      <c r="D20" s="32"/>
      <c r="E20" s="15"/>
      <c r="F20" s="18">
        <f>5000*31</f>
        <v>155000</v>
      </c>
      <c r="G20" s="32">
        <v>10.52</v>
      </c>
      <c r="H20" s="210">
        <f>9.92+0.228</f>
        <v>10.148</v>
      </c>
      <c r="I20" s="17">
        <f>SUM(-G20+H20)*F20</f>
        <v>-57659.999999999985</v>
      </c>
      <c r="J20" s="41">
        <f>+I20</f>
        <v>-57659.999999999985</v>
      </c>
      <c r="K20" s="41"/>
    </row>
    <row r="21" spans="1:11" x14ac:dyDescent="0.2">
      <c r="A21" s="31">
        <v>36923</v>
      </c>
      <c r="B21" s="15"/>
      <c r="C21" s="16" t="s">
        <v>144</v>
      </c>
      <c r="D21" s="32"/>
      <c r="E21" s="15"/>
      <c r="F21" s="18">
        <f>5000*28</f>
        <v>140000</v>
      </c>
      <c r="G21" s="32">
        <f>+[3]Demarc!$E12</f>
        <v>6.423</v>
      </c>
      <c r="H21" s="32">
        <f>+'[3]PEPL Tx, Ok'!$E12+0.228</f>
        <v>6.4210000000000003</v>
      </c>
      <c r="I21" s="17">
        <f>SUM(-G21+H21)*F21</f>
        <v>-279.99999999996919</v>
      </c>
      <c r="J21" s="39"/>
      <c r="K21" s="41">
        <f>+I21</f>
        <v>-279.99999999996919</v>
      </c>
    </row>
    <row r="22" spans="1:11" x14ac:dyDescent="0.2">
      <c r="A22" s="31">
        <v>36951</v>
      </c>
      <c r="B22" s="15"/>
      <c r="C22" s="16" t="s">
        <v>144</v>
      </c>
      <c r="D22" s="32"/>
      <c r="E22" s="15"/>
      <c r="F22" s="18">
        <f>5000*31</f>
        <v>155000</v>
      </c>
      <c r="G22" s="32">
        <f>+[3]Demarc!$E13</f>
        <v>5.8369999999999997</v>
      </c>
      <c r="H22" s="32">
        <f>+'[3]PEPL Tx, Ok'!$E13+0.228</f>
        <v>5.8649999999999993</v>
      </c>
      <c r="I22" s="17">
        <f>SUM(-G22+H22)*F22</f>
        <v>4339.9999999999354</v>
      </c>
      <c r="J22" s="39"/>
      <c r="K22" s="41">
        <f>+I22</f>
        <v>4339.9999999999354</v>
      </c>
    </row>
    <row r="23" spans="1:11" x14ac:dyDescent="0.2">
      <c r="A23" s="31"/>
      <c r="B23" s="15"/>
      <c r="C23" s="16"/>
      <c r="D23" s="32"/>
      <c r="E23" s="15"/>
      <c r="F23" s="18"/>
      <c r="G23" s="15"/>
      <c r="H23" s="32"/>
      <c r="I23" s="17"/>
      <c r="J23" s="39"/>
      <c r="K23" s="41"/>
    </row>
    <row r="24" spans="1:11" x14ac:dyDescent="0.2">
      <c r="A24" s="31"/>
      <c r="B24" s="15"/>
      <c r="C24" s="16"/>
      <c r="D24" s="32"/>
      <c r="E24" s="15"/>
      <c r="F24" s="18"/>
      <c r="G24" s="211"/>
      <c r="H24" s="32"/>
      <c r="I24" s="32"/>
      <c r="J24" s="39"/>
      <c r="K24" s="41"/>
    </row>
    <row r="25" spans="1:11" x14ac:dyDescent="0.2">
      <c r="A25" s="31"/>
      <c r="B25" s="15"/>
      <c r="C25" s="16"/>
      <c r="D25" s="32"/>
      <c r="E25" s="15"/>
      <c r="F25" s="65"/>
      <c r="G25" s="15"/>
      <c r="H25" s="32"/>
      <c r="I25" s="66"/>
      <c r="J25" s="26"/>
      <c r="K25" s="67"/>
    </row>
    <row r="26" spans="1:11" x14ac:dyDescent="0.2">
      <c r="A26" s="31"/>
      <c r="B26" s="15"/>
      <c r="C26" s="16"/>
      <c r="D26" s="32"/>
      <c r="E26" s="15"/>
      <c r="F26" s="18">
        <f>SUM(F20:F25)</f>
        <v>450000</v>
      </c>
      <c r="G26" s="15"/>
      <c r="H26" s="32"/>
      <c r="I26" s="17">
        <f>SUM(I20:I25)</f>
        <v>-53600.000000000022</v>
      </c>
      <c r="J26" s="17">
        <f>SUM(J20:J25)</f>
        <v>-57659.999999999985</v>
      </c>
      <c r="K26" s="17">
        <f>SUM(K20:K25)</f>
        <v>4059.9999999999663</v>
      </c>
    </row>
    <row r="27" spans="1:11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1" ht="13.5" thickBot="1" x14ac:dyDescent="0.25">
      <c r="A28" s="31"/>
      <c r="B28" s="15"/>
      <c r="C28" s="16"/>
      <c r="D28" s="32"/>
      <c r="E28" s="15"/>
      <c r="F28" s="117">
        <f>+F14+F26</f>
        <v>0</v>
      </c>
      <c r="G28" s="15"/>
      <c r="H28" s="32"/>
      <c r="I28" s="118">
        <f>+I26+I14</f>
        <v>-269050.00000000017</v>
      </c>
      <c r="J28" s="118">
        <f>+J26+J14</f>
        <v>-90210.000000000116</v>
      </c>
      <c r="K28" s="118">
        <f>+K26+K14</f>
        <v>-178840.00000000006</v>
      </c>
    </row>
    <row r="29" spans="1:11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1" x14ac:dyDescent="0.2">
      <c r="A31" s="29" t="s">
        <v>37</v>
      </c>
    </row>
  </sheetData>
  <mergeCells count="4">
    <mergeCell ref="A4:K4"/>
    <mergeCell ref="G16:H16"/>
    <mergeCell ref="G17:H17"/>
    <mergeCell ref="G18:H18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H12" sqref="H12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153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167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0.55000000000000004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36892</v>
      </c>
      <c r="B10" s="15"/>
      <c r="C10" s="16" t="s">
        <v>85</v>
      </c>
      <c r="D10" s="32">
        <f>9.98+D9</f>
        <v>10.530000000000001</v>
      </c>
      <c r="E10" s="15"/>
      <c r="F10" s="18">
        <v>-155000</v>
      </c>
      <c r="G10" s="32">
        <f>+D10-H10</f>
        <v>1.0000000000001563E-2</v>
      </c>
      <c r="H10" s="32">
        <v>10.52</v>
      </c>
      <c r="I10" s="17">
        <f>(+D10-H10)*F10</f>
        <v>-1550.0000000002424</v>
      </c>
      <c r="J10" s="41">
        <f>+I10</f>
        <v>-1550.0000000002424</v>
      </c>
      <c r="K10" s="41"/>
    </row>
    <row r="11" spans="1:12" x14ac:dyDescent="0.2">
      <c r="A11" s="31">
        <v>36923</v>
      </c>
      <c r="B11" s="15"/>
      <c r="C11" s="16" t="s">
        <v>85</v>
      </c>
      <c r="D11" s="32">
        <f>+D9+'[3]Henry Hub'!$E$12</f>
        <v>6.843</v>
      </c>
      <c r="E11" s="15"/>
      <c r="F11" s="18">
        <v>-140000</v>
      </c>
      <c r="G11" s="32">
        <f>+D11-H11</f>
        <v>0.41999999999999993</v>
      </c>
      <c r="H11" s="32">
        <f>+[3]Demarc!$E12</f>
        <v>6.423</v>
      </c>
      <c r="I11" s="17">
        <f>(+D11-H11)*F11</f>
        <v>-58799.999999999993</v>
      </c>
      <c r="J11" s="41"/>
      <c r="K11" s="41">
        <f>+I11</f>
        <v>-58799.999999999993</v>
      </c>
    </row>
    <row r="12" spans="1:12" x14ac:dyDescent="0.2">
      <c r="A12" s="31">
        <v>36951</v>
      </c>
      <c r="B12" s="15"/>
      <c r="C12" s="16" t="s">
        <v>85</v>
      </c>
      <c r="D12" s="32">
        <f>+D9+'[3]Henry Hub'!$E$13</f>
        <v>6.2569999999999997</v>
      </c>
      <c r="E12" s="15"/>
      <c r="F12" s="18">
        <v>-155000</v>
      </c>
      <c r="G12" s="32">
        <f>+D12-H12</f>
        <v>0.41999999999999993</v>
      </c>
      <c r="H12" s="32">
        <f>+[3]Demarc!$E13</f>
        <v>5.8369999999999997</v>
      </c>
      <c r="I12" s="17">
        <f>(+D12-H12)*F12</f>
        <v>-65099.999999999985</v>
      </c>
      <c r="J12" s="39"/>
      <c r="K12" s="41">
        <f>+I12</f>
        <v>-65099.999999999985</v>
      </c>
    </row>
    <row r="13" spans="1:12" x14ac:dyDescent="0.2">
      <c r="A13" s="31"/>
      <c r="B13" s="15"/>
      <c r="C13" s="16"/>
      <c r="D13" s="32"/>
      <c r="E13" s="15"/>
      <c r="F13" s="65"/>
      <c r="G13" s="36">
        <f>SUM(G10:G12)/3</f>
        <v>0.28333333333333383</v>
      </c>
      <c r="H13" s="32"/>
      <c r="I13" s="66"/>
      <c r="J13" s="26"/>
      <c r="K13" s="67"/>
    </row>
    <row r="14" spans="1:12" x14ac:dyDescent="0.2">
      <c r="A14" s="31"/>
      <c r="B14" s="15"/>
      <c r="C14" s="16"/>
      <c r="D14" s="32">
        <f>SUM(D10:D12)/3</f>
        <v>7.8766666666666678</v>
      </c>
      <c r="E14" s="15"/>
      <c r="F14" s="18">
        <f>SUM(F10:F13)</f>
        <v>-450000</v>
      </c>
      <c r="G14" s="15"/>
      <c r="H14" s="32">
        <f>SUM(H10:H12)/3</f>
        <v>7.5933333333333328</v>
      </c>
      <c r="I14" s="17">
        <f>SUM(I10:I13)</f>
        <v>-125450.00000000022</v>
      </c>
      <c r="J14" s="17">
        <f>SUM(J10:J13)</f>
        <v>-1550.0000000002424</v>
      </c>
      <c r="K14" s="17">
        <f>SUM(K10:K13)</f>
        <v>-123899.99999999997</v>
      </c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ht="13.5" thickBot="1" x14ac:dyDescent="0.25">
      <c r="A16" s="31"/>
      <c r="B16" s="15"/>
      <c r="C16" s="16"/>
      <c r="D16" s="32"/>
      <c r="E16" s="15"/>
      <c r="F16" s="117">
        <f>+F14</f>
        <v>-450000</v>
      </c>
      <c r="G16" s="15"/>
      <c r="H16" s="32"/>
      <c r="I16" s="118">
        <f>+I14</f>
        <v>-125450.00000000022</v>
      </c>
      <c r="J16" s="118">
        <f>+J14</f>
        <v>-1550.0000000002424</v>
      </c>
      <c r="K16" s="118">
        <f>+K14</f>
        <v>-123899.99999999997</v>
      </c>
    </row>
    <row r="17" spans="1:12" ht="13.5" thickTop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0"/>
      <c r="L17" s="43">
        <f>+K16+J16-I16</f>
        <v>0</v>
      </c>
    </row>
    <row r="19" spans="1:12" x14ac:dyDescent="0.2">
      <c r="A19" s="29" t="s">
        <v>37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opLeftCell="C6" workbookViewId="0">
      <selection activeCell="H14" sqref="H14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155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32</v>
      </c>
      <c r="E6" s="6"/>
      <c r="F6" s="6"/>
      <c r="G6" s="6"/>
      <c r="H6" s="6" t="s">
        <v>85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142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0.02</v>
      </c>
      <c r="E9" s="12"/>
      <c r="F9" s="12"/>
      <c r="G9" s="51"/>
      <c r="H9" s="13" t="s">
        <v>166</v>
      </c>
      <c r="I9" s="58"/>
      <c r="J9" s="58"/>
      <c r="K9" s="58"/>
      <c r="L9" s="20"/>
    </row>
    <row r="10" spans="1:12" x14ac:dyDescent="0.2">
      <c r="A10" s="31">
        <v>36892</v>
      </c>
      <c r="B10" s="15"/>
      <c r="C10" s="16" t="s">
        <v>85</v>
      </c>
      <c r="D10" s="32">
        <f>9.98+D9</f>
        <v>10</v>
      </c>
      <c r="E10" s="15"/>
      <c r="F10" s="18">
        <f>5000*31</f>
        <v>155000</v>
      </c>
      <c r="G10" s="32">
        <f>+D10-H10</f>
        <v>8.0000000000000071E-2</v>
      </c>
      <c r="H10" s="32">
        <v>9.92</v>
      </c>
      <c r="I10" s="17">
        <f>(D10-H10)*F10</f>
        <v>12400.000000000011</v>
      </c>
      <c r="J10" s="41">
        <f>+I10</f>
        <v>12400.000000000011</v>
      </c>
      <c r="K10" s="41"/>
    </row>
    <row r="11" spans="1:12" x14ac:dyDescent="0.2">
      <c r="A11" s="31">
        <v>36923</v>
      </c>
      <c r="B11" s="15"/>
      <c r="C11" s="16" t="s">
        <v>85</v>
      </c>
      <c r="D11" s="32">
        <f>+D9+'[3]Henry Hub'!$E$12</f>
        <v>6.3129999999999997</v>
      </c>
      <c r="E11" s="15"/>
      <c r="F11" s="18">
        <f>5000*28</f>
        <v>140000</v>
      </c>
      <c r="G11" s="32">
        <f>+D11-H11</f>
        <v>0.11999999999999922</v>
      </c>
      <c r="H11" s="32">
        <f>+'[3]PEPL Tx, Ok'!$E12</f>
        <v>6.1930000000000005</v>
      </c>
      <c r="I11" s="17">
        <f>(D11-H11)*F11</f>
        <v>16799.999999999891</v>
      </c>
      <c r="J11" s="41"/>
      <c r="K11" s="41">
        <f>+I11</f>
        <v>16799.999999999891</v>
      </c>
    </row>
    <row r="12" spans="1:12" x14ac:dyDescent="0.2">
      <c r="A12" s="31">
        <v>36951</v>
      </c>
      <c r="B12" s="15"/>
      <c r="C12" s="16" t="s">
        <v>85</v>
      </c>
      <c r="D12" s="32">
        <f>+D9+'[3]Henry Hub'!$E$13</f>
        <v>5.7269999999999994</v>
      </c>
      <c r="E12" s="15"/>
      <c r="F12" s="18">
        <f>5000*31</f>
        <v>155000</v>
      </c>
      <c r="G12" s="32">
        <f>+D12-H12</f>
        <v>8.9999999999999858E-2</v>
      </c>
      <c r="H12" s="32">
        <f>+'[3]PEPL Tx, Ok'!$E13</f>
        <v>5.6369999999999996</v>
      </c>
      <c r="I12" s="17">
        <f>(D12-H12)*F12</f>
        <v>13949.999999999978</v>
      </c>
      <c r="J12" s="39"/>
      <c r="K12" s="41">
        <f>+I12</f>
        <v>13949.999999999978</v>
      </c>
    </row>
    <row r="13" spans="1:12" x14ac:dyDescent="0.2">
      <c r="A13" s="31"/>
      <c r="B13" s="15"/>
      <c r="C13" s="16"/>
      <c r="D13" s="32"/>
      <c r="E13" s="15"/>
      <c r="F13" s="65"/>
      <c r="G13" s="15"/>
      <c r="H13" s="32"/>
      <c r="I13" s="66"/>
      <c r="J13" s="26"/>
      <c r="K13" s="67"/>
    </row>
    <row r="14" spans="1:12" x14ac:dyDescent="0.2">
      <c r="A14" s="31"/>
      <c r="B14" s="15"/>
      <c r="C14" s="16"/>
      <c r="D14" s="32">
        <f>SUM(D10:D12)/3</f>
        <v>7.3466666666666667</v>
      </c>
      <c r="E14" s="15"/>
      <c r="F14" s="18">
        <f>SUM(F10:F13)</f>
        <v>450000</v>
      </c>
      <c r="G14" s="36">
        <f>SUM(G10:G13)/3</f>
        <v>9.6666666666666387E-2</v>
      </c>
      <c r="H14" s="32">
        <f>SUM(H10:H12)/3</f>
        <v>7.25</v>
      </c>
      <c r="I14" s="17">
        <f>SUM(I10:I13)</f>
        <v>43149.999999999884</v>
      </c>
      <c r="J14" s="17">
        <f>SUM(J10:J13)</f>
        <v>12400.000000000011</v>
      </c>
      <c r="K14" s="17">
        <f>SUM(K10:K13)</f>
        <v>30749.999999999869</v>
      </c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ht="13.5" thickBot="1" x14ac:dyDescent="0.25">
      <c r="A17" s="31"/>
      <c r="B17" s="15"/>
      <c r="C17" s="16"/>
      <c r="D17" s="32"/>
      <c r="E17" s="15"/>
      <c r="F17" s="117">
        <f>+F14</f>
        <v>450000</v>
      </c>
      <c r="G17" s="15"/>
      <c r="H17" s="32"/>
      <c r="I17" s="118">
        <f>+I14</f>
        <v>43149.999999999884</v>
      </c>
      <c r="J17" s="118">
        <f>+J14</f>
        <v>12400.000000000011</v>
      </c>
      <c r="K17" s="118">
        <f>+K14</f>
        <v>30749.999999999869</v>
      </c>
    </row>
    <row r="18" spans="1:11" ht="13.5" thickTop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40"/>
      <c r="K18" s="40"/>
    </row>
    <row r="20" spans="1:11" x14ac:dyDescent="0.2">
      <c r="A20" s="29" t="s">
        <v>37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opLeftCell="C10" workbookViewId="0">
      <selection activeCell="G11" sqref="G11:G32"/>
    </sheetView>
  </sheetViews>
  <sheetFormatPr defaultRowHeight="12.75" x14ac:dyDescent="0.2"/>
  <cols>
    <col min="1" max="1" width="10.7109375" customWidth="1"/>
    <col min="2" max="2" width="14.28515625" customWidth="1"/>
    <col min="3" max="3" width="13.7109375" customWidth="1"/>
    <col min="4" max="4" width="15.85546875" bestFit="1" customWidth="1"/>
    <col min="5" max="5" width="0" hidden="1" customWidth="1"/>
    <col min="6" max="6" width="12.7109375" customWidth="1"/>
    <col min="7" max="7" width="15.85546875" bestFit="1" customWidth="1"/>
    <col min="8" max="8" width="12.5703125" style="182" customWidth="1"/>
    <col min="9" max="9" width="15.42578125" customWidth="1"/>
    <col min="10" max="10" width="14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81"/>
      <c r="I1" s="1"/>
      <c r="J1" s="1"/>
      <c r="K1" s="1"/>
    </row>
    <row r="2" spans="1:12" s="2" customFormat="1" ht="15" x14ac:dyDescent="0.2">
      <c r="A2" s="1" t="s">
        <v>132</v>
      </c>
      <c r="B2" s="1"/>
      <c r="C2" s="1"/>
      <c r="D2" s="1"/>
      <c r="E2" s="1"/>
      <c r="F2" s="1"/>
      <c r="G2" s="1"/>
      <c r="H2" s="181"/>
      <c r="I2" s="1"/>
      <c r="J2" s="1"/>
      <c r="K2" s="1"/>
    </row>
    <row r="3" spans="1:12" s="4" customFormat="1" ht="15.75" x14ac:dyDescent="0.25">
      <c r="A3" s="355" t="s">
        <v>158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2" s="7" customFormat="1" x14ac:dyDescent="0.2">
      <c r="A6" s="5" t="s">
        <v>41</v>
      </c>
      <c r="B6" s="6" t="s">
        <v>3</v>
      </c>
      <c r="C6" s="6" t="s">
        <v>3</v>
      </c>
      <c r="D6" s="6" t="s">
        <v>32</v>
      </c>
      <c r="E6" s="6"/>
      <c r="F6" s="6" t="s">
        <v>14</v>
      </c>
      <c r="G6" s="6" t="s">
        <v>137</v>
      </c>
      <c r="H6" s="55" t="s">
        <v>44</v>
      </c>
      <c r="I6" s="56"/>
      <c r="J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133</v>
      </c>
      <c r="E7" s="9"/>
      <c r="F7" s="9" t="s">
        <v>46</v>
      </c>
      <c r="G7" s="9" t="s">
        <v>134</v>
      </c>
      <c r="H7" s="9" t="s">
        <v>19</v>
      </c>
      <c r="I7" s="9" t="s">
        <v>20</v>
      </c>
      <c r="J7" s="10" t="s">
        <v>21</v>
      </c>
    </row>
    <row r="8" spans="1:12" x14ac:dyDescent="0.2">
      <c r="A8" s="11"/>
      <c r="B8" s="12"/>
      <c r="C8" s="12"/>
      <c r="D8" s="216" t="s">
        <v>161</v>
      </c>
      <c r="E8" s="12"/>
      <c r="F8" s="12"/>
      <c r="G8" s="51" t="s">
        <v>162</v>
      </c>
      <c r="H8" s="58" t="s">
        <v>24</v>
      </c>
      <c r="I8" s="58" t="s">
        <v>24</v>
      </c>
      <c r="J8" s="59" t="s">
        <v>24</v>
      </c>
    </row>
    <row r="9" spans="1:12" s="191" customFormat="1" x14ac:dyDescent="0.2">
      <c r="A9" s="183">
        <v>36831</v>
      </c>
      <c r="B9" s="184" t="s">
        <v>159</v>
      </c>
      <c r="C9" s="185" t="s">
        <v>160</v>
      </c>
      <c r="D9" s="186">
        <v>63754.1</v>
      </c>
      <c r="E9" s="184"/>
      <c r="F9" s="187"/>
      <c r="G9" s="186">
        <v>65033.440000000002</v>
      </c>
      <c r="H9" s="188">
        <f>+G9-D9</f>
        <v>1279.3400000000038</v>
      </c>
      <c r="I9" s="189">
        <f>+H9</f>
        <v>1279.3400000000038</v>
      </c>
      <c r="J9" s="222"/>
      <c r="K9" s="217"/>
      <c r="L9" s="190"/>
    </row>
    <row r="10" spans="1:12" x14ac:dyDescent="0.2">
      <c r="A10" s="31">
        <v>36861</v>
      </c>
      <c r="B10" s="184" t="s">
        <v>159</v>
      </c>
      <c r="C10" s="185" t="s">
        <v>160</v>
      </c>
      <c r="D10" s="186">
        <v>65879.34</v>
      </c>
      <c r="E10" s="184"/>
      <c r="F10" s="187"/>
      <c r="G10" s="186">
        <v>66423.8</v>
      </c>
      <c r="H10" s="192">
        <f t="shared" ref="H10:H32" si="0">+G10-D10</f>
        <v>544.4600000000064</v>
      </c>
      <c r="I10" s="189">
        <f>+H10</f>
        <v>544.4600000000064</v>
      </c>
      <c r="J10" s="60"/>
      <c r="K10" s="218"/>
      <c r="L10" s="148"/>
    </row>
    <row r="11" spans="1:12" x14ac:dyDescent="0.2">
      <c r="A11" s="31">
        <v>36892</v>
      </c>
      <c r="B11" s="184" t="s">
        <v>159</v>
      </c>
      <c r="C11" s="185" t="s">
        <v>160</v>
      </c>
      <c r="D11" s="186">
        <v>65879.34</v>
      </c>
      <c r="E11" s="15"/>
      <c r="F11" s="194"/>
      <c r="G11" s="186">
        <f>100466*0.66777</f>
        <v>67088.180819999994</v>
      </c>
      <c r="H11" s="192">
        <f t="shared" si="0"/>
        <v>1208.8408199999976</v>
      </c>
      <c r="I11" s="193">
        <f t="shared" ref="I11:I32" si="1">+H11*F11</f>
        <v>0</v>
      </c>
      <c r="J11" s="60">
        <f t="shared" ref="J11:J32" si="2">+H11</f>
        <v>1208.8408199999976</v>
      </c>
      <c r="K11" s="218"/>
      <c r="L11" s="148"/>
    </row>
    <row r="12" spans="1:12" x14ac:dyDescent="0.2">
      <c r="A12" s="31">
        <v>36923</v>
      </c>
      <c r="B12" s="184" t="s">
        <v>159</v>
      </c>
      <c r="C12" s="185" t="s">
        <v>160</v>
      </c>
      <c r="D12" s="186">
        <v>59504.26</v>
      </c>
      <c r="E12" s="15"/>
      <c r="F12" s="194"/>
      <c r="G12" s="186">
        <f>90744*0.66777</f>
        <v>60596.120879999995</v>
      </c>
      <c r="H12" s="192">
        <f t="shared" si="0"/>
        <v>1091.8608799999929</v>
      </c>
      <c r="I12" s="193">
        <f t="shared" si="1"/>
        <v>0</v>
      </c>
      <c r="J12" s="60">
        <f t="shared" si="2"/>
        <v>1091.8608799999929</v>
      </c>
      <c r="K12" s="218"/>
      <c r="L12" s="148"/>
    </row>
    <row r="13" spans="1:12" x14ac:dyDescent="0.2">
      <c r="A13" s="31">
        <v>36951</v>
      </c>
      <c r="B13" s="184" t="s">
        <v>159</v>
      </c>
      <c r="C13" s="185" t="s">
        <v>160</v>
      </c>
      <c r="D13" s="186">
        <v>65879.34</v>
      </c>
      <c r="E13" s="15"/>
      <c r="F13" s="194"/>
      <c r="G13" s="186">
        <f>100466*0.66777</f>
        <v>67088.180819999994</v>
      </c>
      <c r="H13" s="192">
        <f t="shared" si="0"/>
        <v>1208.8408199999976</v>
      </c>
      <c r="I13" s="193">
        <f t="shared" si="1"/>
        <v>0</v>
      </c>
      <c r="J13" s="60">
        <f t="shared" si="2"/>
        <v>1208.8408199999976</v>
      </c>
      <c r="K13" s="218"/>
      <c r="L13" s="148"/>
    </row>
    <row r="14" spans="1:12" x14ac:dyDescent="0.2">
      <c r="A14" s="31">
        <v>36982</v>
      </c>
      <c r="B14" s="184" t="s">
        <v>159</v>
      </c>
      <c r="C14" s="185" t="s">
        <v>160</v>
      </c>
      <c r="D14" s="186">
        <v>63754.1</v>
      </c>
      <c r="E14" s="15"/>
      <c r="F14" s="194"/>
      <c r="G14" s="186">
        <f>97225*0.66777</f>
        <v>64923.938249999999</v>
      </c>
      <c r="H14" s="192">
        <f t="shared" si="0"/>
        <v>1169.8382500000007</v>
      </c>
      <c r="I14" s="193">
        <f t="shared" si="1"/>
        <v>0</v>
      </c>
      <c r="J14" s="60">
        <f t="shared" si="2"/>
        <v>1169.8382500000007</v>
      </c>
      <c r="K14" s="218"/>
      <c r="L14" s="148"/>
    </row>
    <row r="15" spans="1:12" x14ac:dyDescent="0.2">
      <c r="A15" s="31">
        <v>37012</v>
      </c>
      <c r="B15" s="184" t="s">
        <v>159</v>
      </c>
      <c r="C15" s="185" t="s">
        <v>160</v>
      </c>
      <c r="D15" s="186">
        <v>65879.34</v>
      </c>
      <c r="E15" s="15"/>
      <c r="F15" s="194"/>
      <c r="G15" s="186">
        <f>100466*0.66777</f>
        <v>67088.180819999994</v>
      </c>
      <c r="H15" s="192">
        <f t="shared" si="0"/>
        <v>1208.8408199999976</v>
      </c>
      <c r="I15" s="193">
        <f t="shared" si="1"/>
        <v>0</v>
      </c>
      <c r="J15" s="60">
        <f t="shared" si="2"/>
        <v>1208.8408199999976</v>
      </c>
      <c r="K15" s="218"/>
      <c r="L15" s="148"/>
    </row>
    <row r="16" spans="1:12" x14ac:dyDescent="0.2">
      <c r="A16" s="31">
        <v>37043</v>
      </c>
      <c r="B16" s="184" t="s">
        <v>159</v>
      </c>
      <c r="C16" s="185" t="s">
        <v>160</v>
      </c>
      <c r="D16" s="186">
        <v>63754.1</v>
      </c>
      <c r="E16" s="15"/>
      <c r="F16" s="194"/>
      <c r="G16" s="186">
        <f>97225*0.66777</f>
        <v>64923.938249999999</v>
      </c>
      <c r="H16" s="192">
        <f t="shared" si="0"/>
        <v>1169.8382500000007</v>
      </c>
      <c r="I16" s="193">
        <f t="shared" si="1"/>
        <v>0</v>
      </c>
      <c r="J16" s="60">
        <f t="shared" si="2"/>
        <v>1169.8382500000007</v>
      </c>
      <c r="K16" s="218"/>
      <c r="L16" s="148"/>
    </row>
    <row r="17" spans="1:12" x14ac:dyDescent="0.2">
      <c r="A17" s="31">
        <v>37073</v>
      </c>
      <c r="B17" s="184" t="s">
        <v>159</v>
      </c>
      <c r="C17" s="185" t="s">
        <v>160</v>
      </c>
      <c r="D17" s="186">
        <v>65879.34</v>
      </c>
      <c r="E17" s="15"/>
      <c r="F17" s="194"/>
      <c r="G17" s="186">
        <f>100466*0.66777</f>
        <v>67088.180819999994</v>
      </c>
      <c r="H17" s="192">
        <f t="shared" si="0"/>
        <v>1208.8408199999976</v>
      </c>
      <c r="I17" s="193">
        <f t="shared" si="1"/>
        <v>0</v>
      </c>
      <c r="J17" s="60">
        <f t="shared" si="2"/>
        <v>1208.8408199999976</v>
      </c>
      <c r="K17" s="218"/>
      <c r="L17" s="148"/>
    </row>
    <row r="18" spans="1:12" x14ac:dyDescent="0.2">
      <c r="A18" s="31">
        <v>37104</v>
      </c>
      <c r="B18" s="184" t="s">
        <v>159</v>
      </c>
      <c r="C18" s="185" t="s">
        <v>160</v>
      </c>
      <c r="D18" s="186">
        <v>65879.34</v>
      </c>
      <c r="E18" s="15"/>
      <c r="F18" s="194"/>
      <c r="G18" s="186">
        <f>100466*0.66777</f>
        <v>67088.180819999994</v>
      </c>
      <c r="H18" s="192">
        <f t="shared" si="0"/>
        <v>1208.8408199999976</v>
      </c>
      <c r="I18" s="193">
        <f t="shared" si="1"/>
        <v>0</v>
      </c>
      <c r="J18" s="60">
        <f t="shared" si="2"/>
        <v>1208.8408199999976</v>
      </c>
      <c r="K18" s="218"/>
      <c r="L18" s="148"/>
    </row>
    <row r="19" spans="1:12" x14ac:dyDescent="0.2">
      <c r="A19" s="31">
        <v>37135</v>
      </c>
      <c r="B19" s="184" t="s">
        <v>159</v>
      </c>
      <c r="C19" s="185" t="s">
        <v>160</v>
      </c>
      <c r="D19" s="186">
        <v>63754.1</v>
      </c>
      <c r="E19" s="15"/>
      <c r="F19" s="194"/>
      <c r="G19" s="186">
        <f>97225*0.66777</f>
        <v>64923.938249999999</v>
      </c>
      <c r="H19" s="192">
        <f t="shared" si="0"/>
        <v>1169.8382500000007</v>
      </c>
      <c r="I19" s="193">
        <f t="shared" si="1"/>
        <v>0</v>
      </c>
      <c r="J19" s="60">
        <f t="shared" si="2"/>
        <v>1169.8382500000007</v>
      </c>
      <c r="K19" s="218"/>
      <c r="L19" s="148"/>
    </row>
    <row r="20" spans="1:12" x14ac:dyDescent="0.2">
      <c r="A20" s="31">
        <v>37165</v>
      </c>
      <c r="B20" s="184" t="s">
        <v>159</v>
      </c>
      <c r="C20" s="185" t="s">
        <v>160</v>
      </c>
      <c r="D20" s="186">
        <v>65879.34</v>
      </c>
      <c r="E20" s="15"/>
      <c r="F20" s="194"/>
      <c r="G20" s="186">
        <f>100466*0.66777</f>
        <v>67088.180819999994</v>
      </c>
      <c r="H20" s="192">
        <f t="shared" si="0"/>
        <v>1208.8408199999976</v>
      </c>
      <c r="I20" s="193">
        <f t="shared" si="1"/>
        <v>0</v>
      </c>
      <c r="J20" s="60">
        <f t="shared" si="2"/>
        <v>1208.8408199999976</v>
      </c>
      <c r="K20" s="218"/>
      <c r="L20" s="148"/>
    </row>
    <row r="21" spans="1:12" x14ac:dyDescent="0.2">
      <c r="A21" s="31">
        <v>37196</v>
      </c>
      <c r="B21" s="184" t="s">
        <v>159</v>
      </c>
      <c r="C21" s="185" t="s">
        <v>160</v>
      </c>
      <c r="D21" s="186">
        <v>63754.1</v>
      </c>
      <c r="E21" s="15"/>
      <c r="F21" s="194"/>
      <c r="G21" s="186">
        <f>97225*0.66777</f>
        <v>64923.938249999999</v>
      </c>
      <c r="H21" s="192">
        <f t="shared" si="0"/>
        <v>1169.8382500000007</v>
      </c>
      <c r="I21" s="193">
        <f t="shared" si="1"/>
        <v>0</v>
      </c>
      <c r="J21" s="60">
        <f t="shared" si="2"/>
        <v>1169.8382500000007</v>
      </c>
      <c r="K21" s="218"/>
      <c r="L21" s="148"/>
    </row>
    <row r="22" spans="1:12" x14ac:dyDescent="0.2">
      <c r="A22" s="31">
        <v>37226</v>
      </c>
      <c r="B22" s="184" t="s">
        <v>159</v>
      </c>
      <c r="C22" s="185" t="s">
        <v>160</v>
      </c>
      <c r="D22" s="186">
        <v>65879.34</v>
      </c>
      <c r="E22" s="15"/>
      <c r="F22" s="194"/>
      <c r="G22" s="186">
        <f>100466*0.66777</f>
        <v>67088.180819999994</v>
      </c>
      <c r="H22" s="192">
        <f t="shared" si="0"/>
        <v>1208.8408199999976</v>
      </c>
      <c r="I22" s="193">
        <f t="shared" si="1"/>
        <v>0</v>
      </c>
      <c r="J22" s="60">
        <f t="shared" si="2"/>
        <v>1208.8408199999976</v>
      </c>
      <c r="K22" s="218"/>
      <c r="L22" s="148"/>
    </row>
    <row r="23" spans="1:12" x14ac:dyDescent="0.2">
      <c r="A23" s="31">
        <v>37257</v>
      </c>
      <c r="B23" s="184" t="s">
        <v>159</v>
      </c>
      <c r="C23" s="185" t="s">
        <v>160</v>
      </c>
      <c r="D23" s="186">
        <v>65879.34</v>
      </c>
      <c r="E23" s="15"/>
      <c r="F23" s="194"/>
      <c r="G23" s="186">
        <f>100466*0.66777</f>
        <v>67088.180819999994</v>
      </c>
      <c r="H23" s="192">
        <f t="shared" si="0"/>
        <v>1208.8408199999976</v>
      </c>
      <c r="I23" s="193">
        <f t="shared" si="1"/>
        <v>0</v>
      </c>
      <c r="J23" s="60">
        <f t="shared" si="2"/>
        <v>1208.8408199999976</v>
      </c>
      <c r="K23" s="218"/>
      <c r="L23" s="148"/>
    </row>
    <row r="24" spans="1:12" x14ac:dyDescent="0.2">
      <c r="A24" s="31">
        <v>37288</v>
      </c>
      <c r="B24" s="184" t="s">
        <v>159</v>
      </c>
      <c r="C24" s="185" t="s">
        <v>160</v>
      </c>
      <c r="D24" s="186">
        <v>59504.26</v>
      </c>
      <c r="E24" s="15"/>
      <c r="F24" s="194"/>
      <c r="G24" s="186">
        <f>97225*0.66777</f>
        <v>64923.938249999999</v>
      </c>
      <c r="H24" s="192">
        <f t="shared" si="0"/>
        <v>5419.6782499999972</v>
      </c>
      <c r="I24" s="193">
        <f t="shared" si="1"/>
        <v>0</v>
      </c>
      <c r="J24" s="60">
        <f t="shared" si="2"/>
        <v>5419.6782499999972</v>
      </c>
      <c r="K24" s="218"/>
      <c r="L24" s="148"/>
    </row>
    <row r="25" spans="1:12" x14ac:dyDescent="0.2">
      <c r="A25" s="31">
        <v>37316</v>
      </c>
      <c r="B25" s="184" t="s">
        <v>159</v>
      </c>
      <c r="C25" s="185" t="s">
        <v>160</v>
      </c>
      <c r="D25" s="186">
        <v>65879.34</v>
      </c>
      <c r="E25" s="15"/>
      <c r="F25" s="194"/>
      <c r="G25" s="186">
        <f>100466*0.66777</f>
        <v>67088.180819999994</v>
      </c>
      <c r="H25" s="192">
        <f t="shared" si="0"/>
        <v>1208.8408199999976</v>
      </c>
      <c r="I25" s="193">
        <f t="shared" si="1"/>
        <v>0</v>
      </c>
      <c r="J25" s="60">
        <f t="shared" si="2"/>
        <v>1208.8408199999976</v>
      </c>
      <c r="K25" s="218"/>
      <c r="L25" s="148"/>
    </row>
    <row r="26" spans="1:12" x14ac:dyDescent="0.2">
      <c r="A26" s="31">
        <v>37347</v>
      </c>
      <c r="B26" s="184" t="s">
        <v>159</v>
      </c>
      <c r="C26" s="185" t="s">
        <v>160</v>
      </c>
      <c r="D26" s="186">
        <v>63754.1</v>
      </c>
      <c r="E26" s="15"/>
      <c r="F26" s="194"/>
      <c r="G26" s="186">
        <f>97225*0.66777</f>
        <v>64923.938249999999</v>
      </c>
      <c r="H26" s="192">
        <f t="shared" si="0"/>
        <v>1169.8382500000007</v>
      </c>
      <c r="I26" s="193">
        <f t="shared" si="1"/>
        <v>0</v>
      </c>
      <c r="J26" s="60">
        <f t="shared" si="2"/>
        <v>1169.8382500000007</v>
      </c>
      <c r="K26" s="218"/>
      <c r="L26" s="148"/>
    </row>
    <row r="27" spans="1:12" x14ac:dyDescent="0.2">
      <c r="A27" s="31">
        <v>37377</v>
      </c>
      <c r="B27" s="184" t="s">
        <v>159</v>
      </c>
      <c r="C27" s="185" t="s">
        <v>160</v>
      </c>
      <c r="D27" s="186">
        <v>65879.34</v>
      </c>
      <c r="E27" s="15"/>
      <c r="F27" s="194"/>
      <c r="G27" s="186">
        <f>100466*0.66777</f>
        <v>67088.180819999994</v>
      </c>
      <c r="H27" s="192">
        <f t="shared" si="0"/>
        <v>1208.8408199999976</v>
      </c>
      <c r="I27" s="193">
        <f t="shared" si="1"/>
        <v>0</v>
      </c>
      <c r="J27" s="60">
        <f t="shared" si="2"/>
        <v>1208.8408199999976</v>
      </c>
      <c r="K27" s="218"/>
      <c r="L27" s="148"/>
    </row>
    <row r="28" spans="1:12" x14ac:dyDescent="0.2">
      <c r="A28" s="31">
        <v>37408</v>
      </c>
      <c r="B28" s="184" t="s">
        <v>159</v>
      </c>
      <c r="C28" s="185" t="s">
        <v>160</v>
      </c>
      <c r="D28" s="186">
        <v>63754.1</v>
      </c>
      <c r="E28" s="15"/>
      <c r="F28" s="194"/>
      <c r="G28" s="186">
        <f>97225*0.66777</f>
        <v>64923.938249999999</v>
      </c>
      <c r="H28" s="192">
        <f t="shared" si="0"/>
        <v>1169.8382500000007</v>
      </c>
      <c r="I28" s="193">
        <f t="shared" si="1"/>
        <v>0</v>
      </c>
      <c r="J28" s="60">
        <f t="shared" si="2"/>
        <v>1169.8382500000007</v>
      </c>
      <c r="K28" s="218"/>
      <c r="L28" s="148"/>
    </row>
    <row r="29" spans="1:12" x14ac:dyDescent="0.2">
      <c r="A29" s="31">
        <v>37438</v>
      </c>
      <c r="B29" s="184" t="s">
        <v>159</v>
      </c>
      <c r="C29" s="185" t="s">
        <v>160</v>
      </c>
      <c r="D29" s="186">
        <v>65879.34</v>
      </c>
      <c r="E29" s="15"/>
      <c r="F29" s="194"/>
      <c r="G29" s="186">
        <f>100466*0.66777</f>
        <v>67088.180819999994</v>
      </c>
      <c r="H29" s="192">
        <f t="shared" si="0"/>
        <v>1208.8408199999976</v>
      </c>
      <c r="I29" s="193">
        <f t="shared" si="1"/>
        <v>0</v>
      </c>
      <c r="J29" s="60">
        <f t="shared" si="2"/>
        <v>1208.8408199999976</v>
      </c>
      <c r="K29" s="218"/>
      <c r="L29" s="148"/>
    </row>
    <row r="30" spans="1:12" x14ac:dyDescent="0.2">
      <c r="A30" s="31">
        <v>37469</v>
      </c>
      <c r="B30" s="184" t="s">
        <v>159</v>
      </c>
      <c r="C30" s="185" t="s">
        <v>160</v>
      </c>
      <c r="D30" s="186">
        <v>65879.34</v>
      </c>
      <c r="E30" s="15"/>
      <c r="F30" s="194"/>
      <c r="G30" s="186">
        <f>100466*0.66777</f>
        <v>67088.180819999994</v>
      </c>
      <c r="H30" s="192">
        <f t="shared" si="0"/>
        <v>1208.8408199999976</v>
      </c>
      <c r="I30" s="193">
        <f t="shared" si="1"/>
        <v>0</v>
      </c>
      <c r="J30" s="60">
        <f t="shared" si="2"/>
        <v>1208.8408199999976</v>
      </c>
      <c r="K30" s="218"/>
      <c r="L30" s="148"/>
    </row>
    <row r="31" spans="1:12" x14ac:dyDescent="0.2">
      <c r="A31" s="31">
        <v>37500</v>
      </c>
      <c r="B31" s="184" t="s">
        <v>159</v>
      </c>
      <c r="C31" s="185" t="s">
        <v>160</v>
      </c>
      <c r="D31" s="186">
        <v>63754.1</v>
      </c>
      <c r="E31" s="15"/>
      <c r="F31" s="194"/>
      <c r="G31" s="186">
        <f>97225*0.66777</f>
        <v>64923.938249999999</v>
      </c>
      <c r="H31" s="192">
        <f t="shared" si="0"/>
        <v>1169.8382500000007</v>
      </c>
      <c r="I31" s="193">
        <f t="shared" si="1"/>
        <v>0</v>
      </c>
      <c r="J31" s="60">
        <f t="shared" si="2"/>
        <v>1169.8382500000007</v>
      </c>
      <c r="K31" s="218"/>
      <c r="L31" s="148"/>
    </row>
    <row r="32" spans="1:12" x14ac:dyDescent="0.2">
      <c r="A32" s="31">
        <v>37530</v>
      </c>
      <c r="B32" s="184" t="s">
        <v>159</v>
      </c>
      <c r="C32" s="185" t="s">
        <v>160</v>
      </c>
      <c r="D32" s="186">
        <v>65879.34</v>
      </c>
      <c r="E32" s="15"/>
      <c r="F32" s="194"/>
      <c r="G32" s="186">
        <f>100466*0.66777</f>
        <v>67088.180819999994</v>
      </c>
      <c r="H32" s="192">
        <f t="shared" si="0"/>
        <v>1208.8408199999976</v>
      </c>
      <c r="I32" s="193">
        <f t="shared" si="1"/>
        <v>0</v>
      </c>
      <c r="J32" s="60">
        <f t="shared" si="2"/>
        <v>1208.8408199999976</v>
      </c>
      <c r="K32" s="218"/>
      <c r="L32" s="148"/>
    </row>
    <row r="33" spans="1:11" x14ac:dyDescent="0.2">
      <c r="A33" s="31"/>
      <c r="B33" s="184"/>
      <c r="C33" s="16"/>
      <c r="D33" s="195"/>
      <c r="E33" s="15"/>
      <c r="F33" s="194"/>
      <c r="G33" s="195"/>
      <c r="H33" s="192"/>
      <c r="I33" s="193"/>
      <c r="J33" s="17"/>
      <c r="K33" s="218"/>
    </row>
    <row r="34" spans="1:11" x14ac:dyDescent="0.2">
      <c r="A34" s="31"/>
      <c r="B34" s="15"/>
      <c r="C34" s="16"/>
      <c r="D34" s="195"/>
      <c r="E34" s="15"/>
      <c r="F34" s="194"/>
      <c r="G34" s="195"/>
      <c r="H34" s="192"/>
      <c r="I34" s="193"/>
      <c r="J34" s="17"/>
      <c r="K34" s="218"/>
    </row>
    <row r="35" spans="1:11" x14ac:dyDescent="0.2">
      <c r="A35" s="31"/>
      <c r="B35" s="15"/>
      <c r="C35" s="16"/>
      <c r="D35" s="195"/>
      <c r="E35" s="15"/>
      <c r="F35" s="194"/>
      <c r="G35" s="195"/>
      <c r="H35" s="192"/>
      <c r="I35" s="193"/>
      <c r="J35" s="17"/>
      <c r="K35" s="218"/>
    </row>
    <row r="36" spans="1:11" ht="13.5" thickBot="1" x14ac:dyDescent="0.25">
      <c r="A36" s="31"/>
      <c r="B36" s="15"/>
      <c r="C36" s="16"/>
      <c r="D36" s="226">
        <f>SUM(D9:D35)</f>
        <v>1551352.0800000003</v>
      </c>
      <c r="E36" s="20"/>
      <c r="F36" s="225">
        <f>SUM(F9:F35)</f>
        <v>0</v>
      </c>
      <c r="G36" s="226">
        <f>SUM(G9:G35)</f>
        <v>1583591.2175399992</v>
      </c>
      <c r="H36" s="196">
        <f>SUM(H9:H35)</f>
        <v>32239.137539999974</v>
      </c>
      <c r="I36" s="196">
        <f>SUM(I9:I35)</f>
        <v>1823.8000000000102</v>
      </c>
      <c r="J36" s="196">
        <f>SUM(J9:J35)</f>
        <v>30415.337539999964</v>
      </c>
      <c r="K36" s="220"/>
    </row>
    <row r="37" spans="1:11" ht="13.5" thickTop="1" x14ac:dyDescent="0.2">
      <c r="A37" s="31"/>
      <c r="B37" s="15"/>
      <c r="C37" s="16"/>
      <c r="D37" s="195"/>
      <c r="E37" s="15"/>
      <c r="G37" s="15"/>
      <c r="H37" s="192"/>
      <c r="I37" s="193"/>
      <c r="J37" s="219"/>
      <c r="K37" s="220"/>
    </row>
    <row r="38" spans="1:11" x14ac:dyDescent="0.2">
      <c r="A38" s="26"/>
      <c r="B38" s="26"/>
      <c r="C38" s="26"/>
      <c r="D38" s="26"/>
      <c r="E38" s="26"/>
      <c r="F38" s="26"/>
      <c r="G38" s="26"/>
      <c r="H38" s="197"/>
      <c r="I38" s="66"/>
      <c r="J38" s="223"/>
      <c r="K38" s="221"/>
    </row>
    <row r="39" spans="1:11" x14ac:dyDescent="0.2">
      <c r="I39" s="28"/>
      <c r="J39" s="28"/>
      <c r="K39" s="221"/>
    </row>
    <row r="40" spans="1:11" x14ac:dyDescent="0.2">
      <c r="A40" s="29"/>
      <c r="I40" s="28"/>
      <c r="J40" s="28"/>
    </row>
    <row r="41" spans="1:11" x14ac:dyDescent="0.2">
      <c r="I41" s="28"/>
      <c r="J41" s="28"/>
    </row>
    <row r="42" spans="1:11" x14ac:dyDescent="0.2">
      <c r="I42" s="28"/>
      <c r="J42" s="28"/>
    </row>
    <row r="43" spans="1:11" x14ac:dyDescent="0.2">
      <c r="I43" s="28"/>
      <c r="J43" s="28"/>
    </row>
    <row r="44" spans="1:11" x14ac:dyDescent="0.2">
      <c r="I44" s="28"/>
      <c r="J44" s="28"/>
    </row>
    <row r="45" spans="1:11" x14ac:dyDescent="0.2">
      <c r="I45" s="28"/>
      <c r="J45" s="28"/>
    </row>
    <row r="46" spans="1:11" x14ac:dyDescent="0.2">
      <c r="I46" s="28"/>
      <c r="J46" s="28"/>
    </row>
    <row r="47" spans="1:11" x14ac:dyDescent="0.2">
      <c r="I47" s="28"/>
      <c r="J47" s="28"/>
    </row>
    <row r="48" spans="1:11" x14ac:dyDescent="0.2">
      <c r="I48" s="28"/>
      <c r="J48" s="28"/>
    </row>
    <row r="49" spans="9:10" x14ac:dyDescent="0.2">
      <c r="I49" s="28"/>
      <c r="J49" s="28"/>
    </row>
    <row r="50" spans="9:10" x14ac:dyDescent="0.2">
      <c r="I50" s="28"/>
      <c r="J50" s="28"/>
    </row>
    <row r="51" spans="9:10" x14ac:dyDescent="0.2">
      <c r="I51" s="28"/>
      <c r="J51" s="28"/>
    </row>
    <row r="52" spans="9:10" x14ac:dyDescent="0.2">
      <c r="I52" s="28"/>
      <c r="J52" s="28"/>
    </row>
    <row r="53" spans="9:10" x14ac:dyDescent="0.2">
      <c r="I53" s="28"/>
      <c r="J53" s="28"/>
    </row>
    <row r="54" spans="9:10" x14ac:dyDescent="0.2">
      <c r="I54" s="28"/>
      <c r="J54" s="28"/>
    </row>
    <row r="55" spans="9:10" x14ac:dyDescent="0.2">
      <c r="I55" s="28"/>
      <c r="J55" s="28"/>
    </row>
    <row r="56" spans="9:10" x14ac:dyDescent="0.2">
      <c r="I56" s="28"/>
      <c r="J56" s="28"/>
    </row>
    <row r="57" spans="9:10" x14ac:dyDescent="0.2">
      <c r="I57" s="28"/>
      <c r="J57" s="28"/>
    </row>
    <row r="58" spans="9:10" x14ac:dyDescent="0.2">
      <c r="I58" s="28"/>
      <c r="J58" s="28"/>
    </row>
    <row r="59" spans="9:10" x14ac:dyDescent="0.2">
      <c r="I59" s="28"/>
      <c r="J59" s="28"/>
    </row>
    <row r="60" spans="9:10" x14ac:dyDescent="0.2">
      <c r="I60" s="28"/>
      <c r="J60" s="28"/>
    </row>
    <row r="61" spans="9:10" x14ac:dyDescent="0.2">
      <c r="I61" s="28"/>
      <c r="J61" s="28"/>
    </row>
    <row r="62" spans="9:10" x14ac:dyDescent="0.2">
      <c r="I62" s="28"/>
      <c r="J62" s="28"/>
    </row>
  </sheetData>
  <mergeCells count="2">
    <mergeCell ref="A3:K3"/>
    <mergeCell ref="A4:K4"/>
  </mergeCells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opLeftCell="C3" workbookViewId="0">
      <selection activeCell="G14" sqref="G14"/>
    </sheetView>
  </sheetViews>
  <sheetFormatPr defaultRowHeight="11.25" x14ac:dyDescent="0.2"/>
  <cols>
    <col min="1" max="2" width="10.7109375" style="69" customWidth="1"/>
    <col min="3" max="3" width="13.7109375" style="69" customWidth="1"/>
    <col min="4" max="4" width="10.7109375" style="69" customWidth="1"/>
    <col min="5" max="5" width="0" style="69" hidden="1" customWidth="1"/>
    <col min="6" max="6" width="12.7109375" style="69" customWidth="1"/>
    <col min="7" max="7" width="14.28515625" style="69" customWidth="1"/>
    <col min="8" max="8" width="10.7109375" style="69" customWidth="1"/>
    <col min="9" max="9" width="15" style="69" customWidth="1"/>
    <col min="10" max="10" width="13.42578125" style="69" customWidth="1"/>
    <col min="11" max="11" width="15" style="69" customWidth="1"/>
    <col min="12" max="16384" width="9.140625" style="69"/>
  </cols>
  <sheetData>
    <row r="1" spans="1:11" s="68" customFormat="1" ht="10.5" x14ac:dyDescent="0.15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ht="10.5" x14ac:dyDescent="0.15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171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172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ht="10.5" x14ac:dyDescent="0.15">
      <c r="A6" s="229" t="s">
        <v>41</v>
      </c>
      <c r="B6" s="230" t="s">
        <v>3</v>
      </c>
      <c r="C6" s="230" t="s">
        <v>3</v>
      </c>
      <c r="D6" s="230" t="s">
        <v>32</v>
      </c>
      <c r="E6" s="230"/>
      <c r="F6" s="230" t="s">
        <v>115</v>
      </c>
      <c r="G6" s="230" t="s">
        <v>160</v>
      </c>
      <c r="H6" s="230"/>
      <c r="I6" s="231" t="s">
        <v>44</v>
      </c>
      <c r="J6" s="232"/>
      <c r="K6" s="233"/>
    </row>
    <row r="7" spans="1:11" s="70" customFormat="1" ht="10.5" x14ac:dyDescent="0.15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 t="s">
        <v>175</v>
      </c>
      <c r="E8" s="246"/>
      <c r="F8" s="246"/>
      <c r="G8" s="247" t="s">
        <v>151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>
        <v>0.01</v>
      </c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37347</v>
      </c>
      <c r="B10" s="84"/>
      <c r="C10" s="83" t="s">
        <v>160</v>
      </c>
      <c r="D10" s="79">
        <f>+'[3]Henry Hub'!$E$15+D9</f>
        <v>4.58</v>
      </c>
      <c r="E10" s="84"/>
      <c r="F10" s="90">
        <v>500000</v>
      </c>
      <c r="G10" s="79"/>
      <c r="H10" s="79"/>
      <c r="I10" s="105">
        <f>+F10*D10</f>
        <v>2290000</v>
      </c>
      <c r="J10" s="82"/>
      <c r="K10" s="82">
        <f>+I10</f>
        <v>2290000</v>
      </c>
    </row>
    <row r="11" spans="1:11" x14ac:dyDescent="0.2">
      <c r="A11" s="239"/>
      <c r="B11" s="84"/>
      <c r="C11" s="83"/>
      <c r="D11" s="79"/>
      <c r="E11" s="84"/>
      <c r="F11" s="90"/>
      <c r="G11" s="84"/>
      <c r="H11" s="79"/>
      <c r="I11" s="105"/>
      <c r="J11" s="85"/>
      <c r="K11" s="82"/>
    </row>
    <row r="12" spans="1:11" x14ac:dyDescent="0.2">
      <c r="A12" s="84"/>
      <c r="B12" s="84"/>
      <c r="C12" s="84"/>
      <c r="D12" s="84"/>
      <c r="E12" s="84"/>
      <c r="F12" s="95">
        <f>SUM(F10:F10)</f>
        <v>500000</v>
      </c>
      <c r="G12" s="84"/>
      <c r="H12" s="84"/>
      <c r="I12" s="93">
        <f>SUM(I10:I10)</f>
        <v>2290000</v>
      </c>
      <c r="J12" s="93">
        <f>SUM(J10:J10)</f>
        <v>0</v>
      </c>
      <c r="K12" s="93">
        <f>SUM(K10:K10)</f>
        <v>2290000</v>
      </c>
    </row>
    <row r="13" spans="1:11" x14ac:dyDescent="0.2">
      <c r="A13" s="84"/>
      <c r="B13" s="84"/>
      <c r="C13" s="84"/>
      <c r="D13" s="84"/>
      <c r="E13" s="84"/>
      <c r="F13" s="94"/>
      <c r="G13" s="84"/>
      <c r="H13" s="84"/>
      <c r="I13" s="240"/>
      <c r="J13" s="241"/>
      <c r="K13" s="241"/>
    </row>
    <row r="14" spans="1:11" x14ac:dyDescent="0.2">
      <c r="A14" s="239">
        <v>37347</v>
      </c>
      <c r="B14" s="84"/>
      <c r="C14" s="83" t="s">
        <v>32</v>
      </c>
      <c r="D14" s="84"/>
      <c r="E14" s="84"/>
      <c r="F14" s="250">
        <v>-500000</v>
      </c>
      <c r="G14" s="127">
        <f>+[3]Demarc!$E$26</f>
        <v>4.59</v>
      </c>
      <c r="H14" s="249"/>
      <c r="I14" s="105">
        <f>+F14*G14</f>
        <v>-2295000</v>
      </c>
      <c r="J14" s="85"/>
      <c r="K14" s="82">
        <f>+I14</f>
        <v>-2295000</v>
      </c>
    </row>
    <row r="15" spans="1:11" x14ac:dyDescent="0.2">
      <c r="A15" s="84"/>
      <c r="B15" s="84"/>
      <c r="C15" s="84"/>
      <c r="D15" s="79"/>
      <c r="E15" s="84"/>
      <c r="F15" s="109"/>
      <c r="G15" s="242"/>
      <c r="H15" s="86"/>
      <c r="I15" s="109"/>
      <c r="J15" s="109"/>
      <c r="K15" s="110"/>
    </row>
    <row r="16" spans="1:11" x14ac:dyDescent="0.2">
      <c r="A16" s="239"/>
      <c r="B16" s="84"/>
      <c r="C16" s="83"/>
      <c r="D16" s="79"/>
      <c r="E16" s="84"/>
      <c r="F16" s="251">
        <f>SUM(F14:F15)</f>
        <v>-500000</v>
      </c>
      <c r="G16" s="79"/>
      <c r="H16" s="79"/>
      <c r="I16" s="105">
        <f>SUM(I14:I15)</f>
        <v>-2295000</v>
      </c>
      <c r="J16" s="105">
        <f>SUM(J14:J15)</f>
        <v>0</v>
      </c>
      <c r="K16" s="105">
        <f>SUM(K14:K15)</f>
        <v>-2295000</v>
      </c>
    </row>
    <row r="17" spans="1:11" x14ac:dyDescent="0.2">
      <c r="A17" s="239"/>
      <c r="B17" s="84"/>
      <c r="C17" s="83"/>
      <c r="D17" s="79"/>
      <c r="E17" s="84"/>
      <c r="F17" s="90"/>
      <c r="G17" s="243"/>
      <c r="H17" s="79"/>
      <c r="I17" s="105"/>
      <c r="J17" s="82"/>
      <c r="K17" s="82"/>
    </row>
    <row r="18" spans="1:11" x14ac:dyDescent="0.2">
      <c r="A18" s="84"/>
      <c r="B18" s="84"/>
      <c r="C18" s="84"/>
      <c r="D18" s="84"/>
      <c r="E18" s="84"/>
      <c r="F18" s="84"/>
      <c r="G18" s="84"/>
      <c r="H18" s="84"/>
      <c r="I18" s="84"/>
      <c r="J18" s="85"/>
      <c r="K18" s="85"/>
    </row>
    <row r="19" spans="1:11" ht="12" thickBot="1" x14ac:dyDescent="0.25">
      <c r="A19" s="84"/>
      <c r="B19" s="84"/>
      <c r="C19" s="84"/>
      <c r="D19" s="84"/>
      <c r="E19" s="84"/>
      <c r="F19" s="244">
        <f>+F12+F16</f>
        <v>0</v>
      </c>
      <c r="G19" s="84"/>
      <c r="H19" s="84"/>
      <c r="I19" s="107">
        <f>+I12+I16</f>
        <v>-5000</v>
      </c>
      <c r="J19" s="107">
        <f>+J12+J16</f>
        <v>0</v>
      </c>
      <c r="K19" s="107">
        <f>+K12+K16</f>
        <v>-5000</v>
      </c>
    </row>
    <row r="20" spans="1:11" ht="12" thickTop="1" x14ac:dyDescent="0.2">
      <c r="A20" s="109"/>
      <c r="B20" s="109"/>
      <c r="C20" s="109"/>
      <c r="D20" s="109"/>
      <c r="E20" s="109"/>
      <c r="F20" s="109"/>
      <c r="G20" s="109"/>
      <c r="H20" s="109"/>
      <c r="I20" s="109"/>
      <c r="J20" s="110"/>
      <c r="K20" s="110"/>
    </row>
    <row r="22" spans="1:11" x14ac:dyDescent="0.2">
      <c r="A22" s="29" t="s">
        <v>37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D10" sqref="D10"/>
    </sheetView>
  </sheetViews>
  <sheetFormatPr defaultRowHeight="11.25" x14ac:dyDescent="0.2"/>
  <cols>
    <col min="1" max="2" width="10.7109375" style="69" customWidth="1"/>
    <col min="3" max="3" width="13.7109375" style="69" customWidth="1"/>
    <col min="4" max="4" width="10.7109375" style="69" customWidth="1"/>
    <col min="5" max="5" width="0" style="69" hidden="1" customWidth="1"/>
    <col min="6" max="6" width="12.7109375" style="69" customWidth="1"/>
    <col min="7" max="7" width="14.28515625" style="69" customWidth="1"/>
    <col min="8" max="8" width="10.7109375" style="69" customWidth="1"/>
    <col min="9" max="9" width="15" style="69" customWidth="1"/>
    <col min="10" max="10" width="13.42578125" style="69" customWidth="1"/>
    <col min="11" max="11" width="15" style="69" customWidth="1"/>
    <col min="12" max="16384" width="9.140625" style="69"/>
  </cols>
  <sheetData>
    <row r="1" spans="1:11" s="68" customFormat="1" ht="10.5" x14ac:dyDescent="0.15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ht="10.5" x14ac:dyDescent="0.15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178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179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ht="10.5" x14ac:dyDescent="0.15">
      <c r="A6" s="229" t="s">
        <v>41</v>
      </c>
      <c r="B6" s="230" t="s">
        <v>3</v>
      </c>
      <c r="C6" s="230" t="s">
        <v>3</v>
      </c>
      <c r="D6" s="230" t="s">
        <v>180</v>
      </c>
      <c r="E6" s="230"/>
      <c r="F6" s="230" t="s">
        <v>115</v>
      </c>
      <c r="G6" s="230" t="s">
        <v>32</v>
      </c>
      <c r="H6" s="230"/>
      <c r="I6" s="231" t="s">
        <v>44</v>
      </c>
      <c r="J6" s="232"/>
      <c r="K6" s="233"/>
    </row>
    <row r="7" spans="1:11" s="70" customFormat="1" ht="10.5" x14ac:dyDescent="0.15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 t="s">
        <v>175</v>
      </c>
      <c r="E8" s="246"/>
      <c r="F8" s="246"/>
      <c r="G8" s="247" t="s">
        <v>151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>
        <v>0.06</v>
      </c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37347</v>
      </c>
      <c r="B10" s="84"/>
      <c r="C10" s="83" t="s">
        <v>160</v>
      </c>
      <c r="D10" s="79">
        <f>+'[3]Henry Hub'!$E$15+D9</f>
        <v>4.63</v>
      </c>
      <c r="E10" s="84"/>
      <c r="F10" s="90">
        <v>-500000</v>
      </c>
      <c r="G10" s="79"/>
      <c r="H10" s="79"/>
      <c r="I10" s="105">
        <f>+F10*D10</f>
        <v>-2315000</v>
      </c>
      <c r="J10" s="82"/>
      <c r="K10" s="82">
        <f>+I10</f>
        <v>-2315000</v>
      </c>
    </row>
    <row r="11" spans="1:11" x14ac:dyDescent="0.2">
      <c r="A11" s="239"/>
      <c r="B11" s="84"/>
      <c r="C11" s="83"/>
      <c r="D11" s="79"/>
      <c r="E11" s="84"/>
      <c r="F11" s="90"/>
      <c r="G11" s="84"/>
      <c r="H11" s="79"/>
      <c r="I11" s="105"/>
      <c r="J11" s="85"/>
      <c r="K11" s="82"/>
    </row>
    <row r="12" spans="1:11" x14ac:dyDescent="0.2">
      <c r="A12" s="84"/>
      <c r="B12" s="84"/>
      <c r="C12" s="84"/>
      <c r="D12" s="84"/>
      <c r="E12" s="84"/>
      <c r="F12" s="95">
        <f>SUM(F10:F10)</f>
        <v>-500000</v>
      </c>
      <c r="G12" s="84"/>
      <c r="H12" s="84"/>
      <c r="I12" s="93">
        <f>SUM(I10:I10)</f>
        <v>-2315000</v>
      </c>
      <c r="J12" s="93">
        <f>SUM(J10:J10)</f>
        <v>0</v>
      </c>
      <c r="K12" s="93">
        <f>SUM(K10:K10)</f>
        <v>-2315000</v>
      </c>
    </row>
    <row r="13" spans="1:11" x14ac:dyDescent="0.2">
      <c r="A13" s="84"/>
      <c r="B13" s="84"/>
      <c r="C13" s="84"/>
      <c r="D13" s="84"/>
      <c r="E13" s="84"/>
      <c r="F13" s="94"/>
      <c r="G13" s="84"/>
      <c r="H13" s="84"/>
      <c r="I13" s="240"/>
      <c r="J13" s="241"/>
      <c r="K13" s="241"/>
    </row>
    <row r="14" spans="1:11" x14ac:dyDescent="0.2">
      <c r="A14" s="239">
        <v>37347</v>
      </c>
      <c r="B14" s="84"/>
      <c r="C14" s="83" t="s">
        <v>32</v>
      </c>
      <c r="D14" s="84"/>
      <c r="E14" s="84"/>
      <c r="F14" s="250">
        <v>500000</v>
      </c>
      <c r="G14" s="127">
        <f>+[3]Demarc!$E$26</f>
        <v>4.59</v>
      </c>
      <c r="H14" s="249"/>
      <c r="I14" s="105">
        <f>+F14*G14</f>
        <v>2295000</v>
      </c>
      <c r="J14" s="85"/>
      <c r="K14" s="82">
        <f>+I14</f>
        <v>2295000</v>
      </c>
    </row>
    <row r="15" spans="1:11" x14ac:dyDescent="0.2">
      <c r="A15" s="84"/>
      <c r="B15" s="84"/>
      <c r="C15" s="84"/>
      <c r="D15" s="79"/>
      <c r="E15" s="84"/>
      <c r="F15" s="109"/>
      <c r="G15" s="242"/>
      <c r="H15" s="86"/>
      <c r="I15" s="109"/>
      <c r="J15" s="109"/>
      <c r="K15" s="110"/>
    </row>
    <row r="16" spans="1:11" x14ac:dyDescent="0.2">
      <c r="A16" s="239"/>
      <c r="B16" s="84"/>
      <c r="C16" s="83"/>
      <c r="D16" s="79"/>
      <c r="E16" s="84"/>
      <c r="F16" s="251">
        <f>SUM(F14:F15)</f>
        <v>500000</v>
      </c>
      <c r="G16" s="79"/>
      <c r="H16" s="79"/>
      <c r="I16" s="105">
        <f>SUM(I14:I15)</f>
        <v>2295000</v>
      </c>
      <c r="J16" s="105">
        <f>SUM(J14:J15)</f>
        <v>0</v>
      </c>
      <c r="K16" s="105">
        <f>SUM(K14:K15)</f>
        <v>2295000</v>
      </c>
    </row>
    <row r="17" spans="1:11" x14ac:dyDescent="0.2">
      <c r="A17" s="239"/>
      <c r="B17" s="84"/>
      <c r="C17" s="83"/>
      <c r="D17" s="79"/>
      <c r="E17" s="84"/>
      <c r="F17" s="90"/>
      <c r="G17" s="243"/>
      <c r="H17" s="79"/>
      <c r="I17" s="105"/>
      <c r="J17" s="82"/>
      <c r="K17" s="82"/>
    </row>
    <row r="18" spans="1:11" x14ac:dyDescent="0.2">
      <c r="A18" s="84"/>
      <c r="B18" s="84"/>
      <c r="C18" s="84"/>
      <c r="D18" s="84"/>
      <c r="E18" s="84"/>
      <c r="F18" s="84"/>
      <c r="G18" s="84"/>
      <c r="H18" s="84"/>
      <c r="I18" s="84"/>
      <c r="J18" s="85"/>
      <c r="K18" s="85"/>
    </row>
    <row r="19" spans="1:11" ht="12" thickBot="1" x14ac:dyDescent="0.25">
      <c r="A19" s="84"/>
      <c r="B19" s="84"/>
      <c r="C19" s="84"/>
      <c r="D19" s="84"/>
      <c r="E19" s="84"/>
      <c r="F19" s="244">
        <f>+F12+F16</f>
        <v>0</v>
      </c>
      <c r="G19" s="84"/>
      <c r="H19" s="84"/>
      <c r="I19" s="107">
        <f>+I12+I16</f>
        <v>-20000</v>
      </c>
      <c r="J19" s="107">
        <f>+J12+J16</f>
        <v>0</v>
      </c>
      <c r="K19" s="107">
        <f>+K12+K16</f>
        <v>-20000</v>
      </c>
    </row>
    <row r="20" spans="1:11" ht="12" thickTop="1" x14ac:dyDescent="0.2">
      <c r="A20" s="109"/>
      <c r="B20" s="109"/>
      <c r="C20" s="109"/>
      <c r="D20" s="109"/>
      <c r="E20" s="109"/>
      <c r="F20" s="109"/>
      <c r="G20" s="109"/>
      <c r="H20" s="109"/>
      <c r="I20" s="109"/>
      <c r="J20" s="110"/>
      <c r="K20" s="110"/>
    </row>
    <row r="22" spans="1:11" x14ac:dyDescent="0.2">
      <c r="A22" s="29" t="s">
        <v>37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A16" workbookViewId="0">
      <selection activeCell="G24" sqref="G24"/>
    </sheetView>
  </sheetViews>
  <sheetFormatPr defaultRowHeight="11.25" x14ac:dyDescent="0.2"/>
  <cols>
    <col min="1" max="2" width="10.7109375" style="69" customWidth="1"/>
    <col min="3" max="3" width="13.7109375" style="69" customWidth="1"/>
    <col min="4" max="4" width="10.7109375" style="69" customWidth="1"/>
    <col min="5" max="5" width="0" style="69" hidden="1" customWidth="1"/>
    <col min="6" max="6" width="12.7109375" style="69" customWidth="1"/>
    <col min="7" max="7" width="14.28515625" style="69" customWidth="1"/>
    <col min="8" max="8" width="10.7109375" style="69" customWidth="1"/>
    <col min="9" max="9" width="15" style="69" customWidth="1"/>
    <col min="10" max="10" width="13.42578125" style="69" customWidth="1"/>
    <col min="11" max="11" width="15" style="69" customWidth="1"/>
    <col min="12" max="16384" width="9.140625" style="69"/>
  </cols>
  <sheetData>
    <row r="1" spans="1:11" s="68" customFormat="1" ht="10.5" x14ac:dyDescent="0.15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ht="10.5" x14ac:dyDescent="0.15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184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185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ht="10.5" x14ac:dyDescent="0.15">
      <c r="A6" s="229" t="s">
        <v>41</v>
      </c>
      <c r="B6" s="230" t="s">
        <v>3</v>
      </c>
      <c r="C6" s="230" t="s">
        <v>3</v>
      </c>
      <c r="D6" s="230" t="s">
        <v>186</v>
      </c>
      <c r="E6" s="230"/>
      <c r="F6" s="230" t="s">
        <v>115</v>
      </c>
      <c r="G6" s="230" t="s">
        <v>32</v>
      </c>
      <c r="H6" s="230"/>
      <c r="I6" s="231" t="s">
        <v>44</v>
      </c>
      <c r="J6" s="232"/>
      <c r="K6" s="233"/>
    </row>
    <row r="7" spans="1:11" s="70" customFormat="1" ht="10.5" x14ac:dyDescent="0.15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/>
      <c r="E8" s="246"/>
      <c r="F8" s="246"/>
      <c r="G8" s="247" t="s">
        <v>174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/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36923</v>
      </c>
      <c r="B10" s="84"/>
      <c r="C10" s="83" t="s">
        <v>186</v>
      </c>
      <c r="D10" s="79">
        <v>6.298</v>
      </c>
      <c r="E10" s="84"/>
      <c r="F10" s="90">
        <f>-20000*28</f>
        <v>-560000</v>
      </c>
      <c r="G10" s="79"/>
      <c r="H10" s="79"/>
      <c r="I10" s="105">
        <f>+F10*D10</f>
        <v>-3526880</v>
      </c>
      <c r="J10" s="82"/>
      <c r="K10" s="82">
        <f t="shared" ref="K10:K20" si="0">+I10</f>
        <v>-3526880</v>
      </c>
    </row>
    <row r="11" spans="1:11" x14ac:dyDescent="0.2">
      <c r="A11" s="239">
        <v>36951</v>
      </c>
      <c r="B11" s="84"/>
      <c r="C11" s="83" t="s">
        <v>186</v>
      </c>
      <c r="D11" s="79">
        <v>6.298</v>
      </c>
      <c r="E11" s="84"/>
      <c r="F11" s="90">
        <f>-20000*31</f>
        <v>-620000</v>
      </c>
      <c r="G11" s="79"/>
      <c r="H11" s="79"/>
      <c r="I11" s="105">
        <f t="shared" ref="I11:I20" si="1">+F11*D11</f>
        <v>-3904760</v>
      </c>
      <c r="J11" s="82"/>
      <c r="K11" s="82">
        <f t="shared" si="0"/>
        <v>-3904760</v>
      </c>
    </row>
    <row r="12" spans="1:11" x14ac:dyDescent="0.2">
      <c r="A12" s="239">
        <v>36982</v>
      </c>
      <c r="B12" s="84"/>
      <c r="C12" s="83" t="s">
        <v>186</v>
      </c>
      <c r="D12" s="79">
        <v>6.298</v>
      </c>
      <c r="E12" s="84"/>
      <c r="F12" s="90">
        <f>-20000*30</f>
        <v>-600000</v>
      </c>
      <c r="G12" s="79"/>
      <c r="H12" s="79"/>
      <c r="I12" s="105">
        <f t="shared" si="1"/>
        <v>-3778800</v>
      </c>
      <c r="J12" s="82"/>
      <c r="K12" s="82">
        <f t="shared" si="0"/>
        <v>-3778800</v>
      </c>
    </row>
    <row r="13" spans="1:11" x14ac:dyDescent="0.2">
      <c r="A13" s="239">
        <v>37012</v>
      </c>
      <c r="B13" s="84"/>
      <c r="C13" s="83" t="s">
        <v>186</v>
      </c>
      <c r="D13" s="79">
        <v>6.298</v>
      </c>
      <c r="E13" s="84"/>
      <c r="F13" s="90">
        <f>-20000*31</f>
        <v>-620000</v>
      </c>
      <c r="G13" s="79"/>
      <c r="H13" s="79"/>
      <c r="I13" s="105">
        <f t="shared" si="1"/>
        <v>-3904760</v>
      </c>
      <c r="J13" s="82"/>
      <c r="K13" s="82">
        <f t="shared" si="0"/>
        <v>-3904760</v>
      </c>
    </row>
    <row r="14" spans="1:11" x14ac:dyDescent="0.2">
      <c r="A14" s="239">
        <v>37043</v>
      </c>
      <c r="B14" s="84"/>
      <c r="C14" s="83" t="s">
        <v>186</v>
      </c>
      <c r="D14" s="79">
        <v>6.298</v>
      </c>
      <c r="E14" s="84"/>
      <c r="F14" s="90">
        <f>-20000*30</f>
        <v>-600000</v>
      </c>
      <c r="G14" s="79"/>
      <c r="H14" s="79"/>
      <c r="I14" s="105">
        <f t="shared" si="1"/>
        <v>-3778800</v>
      </c>
      <c r="J14" s="82"/>
      <c r="K14" s="82">
        <f t="shared" si="0"/>
        <v>-3778800</v>
      </c>
    </row>
    <row r="15" spans="1:11" x14ac:dyDescent="0.2">
      <c r="A15" s="239">
        <v>37073</v>
      </c>
      <c r="B15" s="84"/>
      <c r="C15" s="83" t="s">
        <v>186</v>
      </c>
      <c r="D15" s="79">
        <v>6.298</v>
      </c>
      <c r="E15" s="84"/>
      <c r="F15" s="90">
        <f>-20000*31</f>
        <v>-620000</v>
      </c>
      <c r="G15" s="79"/>
      <c r="H15" s="79"/>
      <c r="I15" s="105">
        <f t="shared" si="1"/>
        <v>-3904760</v>
      </c>
      <c r="J15" s="82"/>
      <c r="K15" s="82">
        <f t="shared" si="0"/>
        <v>-3904760</v>
      </c>
    </row>
    <row r="16" spans="1:11" x14ac:dyDescent="0.2">
      <c r="A16" s="239">
        <v>37104</v>
      </c>
      <c r="B16" s="84"/>
      <c r="C16" s="83" t="s">
        <v>186</v>
      </c>
      <c r="D16" s="79">
        <v>6.298</v>
      </c>
      <c r="E16" s="84"/>
      <c r="F16" s="90">
        <f>-20000*31</f>
        <v>-620000</v>
      </c>
      <c r="G16" s="79"/>
      <c r="H16" s="79"/>
      <c r="I16" s="105">
        <f t="shared" si="1"/>
        <v>-3904760</v>
      </c>
      <c r="J16" s="82"/>
      <c r="K16" s="82">
        <f t="shared" si="0"/>
        <v>-3904760</v>
      </c>
    </row>
    <row r="17" spans="1:11" x14ac:dyDescent="0.2">
      <c r="A17" s="239">
        <v>37135</v>
      </c>
      <c r="B17" s="84"/>
      <c r="C17" s="83" t="s">
        <v>186</v>
      </c>
      <c r="D17" s="79">
        <v>6.298</v>
      </c>
      <c r="E17" s="84"/>
      <c r="F17" s="90">
        <f>-20000*30</f>
        <v>-600000</v>
      </c>
      <c r="G17" s="79"/>
      <c r="H17" s="79"/>
      <c r="I17" s="105">
        <f t="shared" si="1"/>
        <v>-3778800</v>
      </c>
      <c r="J17" s="82"/>
      <c r="K17" s="82">
        <f t="shared" si="0"/>
        <v>-3778800</v>
      </c>
    </row>
    <row r="18" spans="1:11" x14ac:dyDescent="0.2">
      <c r="A18" s="239">
        <v>37165</v>
      </c>
      <c r="B18" s="84"/>
      <c r="C18" s="83" t="s">
        <v>186</v>
      </c>
      <c r="D18" s="79">
        <v>6.298</v>
      </c>
      <c r="E18" s="84"/>
      <c r="F18" s="90">
        <f>-20000*31</f>
        <v>-620000</v>
      </c>
      <c r="G18" s="79"/>
      <c r="H18" s="79"/>
      <c r="I18" s="105">
        <f t="shared" si="1"/>
        <v>-3904760</v>
      </c>
      <c r="J18" s="82"/>
      <c r="K18" s="82">
        <f t="shared" si="0"/>
        <v>-3904760</v>
      </c>
    </row>
    <row r="19" spans="1:11" x14ac:dyDescent="0.2">
      <c r="A19" s="239">
        <v>37196</v>
      </c>
      <c r="B19" s="84"/>
      <c r="C19" s="83" t="s">
        <v>186</v>
      </c>
      <c r="D19" s="79">
        <v>6.298</v>
      </c>
      <c r="E19" s="84"/>
      <c r="F19" s="90">
        <f>-20000*30</f>
        <v>-600000</v>
      </c>
      <c r="G19" s="79"/>
      <c r="H19" s="79"/>
      <c r="I19" s="105">
        <f t="shared" si="1"/>
        <v>-3778800</v>
      </c>
      <c r="J19" s="82"/>
      <c r="K19" s="82">
        <f t="shared" si="0"/>
        <v>-3778800</v>
      </c>
    </row>
    <row r="20" spans="1:11" x14ac:dyDescent="0.2">
      <c r="A20" s="239">
        <v>37226</v>
      </c>
      <c r="B20" s="84"/>
      <c r="C20" s="83" t="s">
        <v>186</v>
      </c>
      <c r="D20" s="79">
        <v>6.298</v>
      </c>
      <c r="E20" s="84"/>
      <c r="F20" s="97">
        <f>-20000*31</f>
        <v>-620000</v>
      </c>
      <c r="G20" s="79"/>
      <c r="H20" s="79"/>
      <c r="I20" s="114">
        <f t="shared" si="1"/>
        <v>-3904760</v>
      </c>
      <c r="J20" s="98"/>
      <c r="K20" s="98">
        <f t="shared" si="0"/>
        <v>-3904760</v>
      </c>
    </row>
    <row r="21" spans="1:11" x14ac:dyDescent="0.2">
      <c r="A21" s="239"/>
      <c r="B21" s="84"/>
      <c r="C21" s="83"/>
      <c r="D21" s="79"/>
      <c r="E21" s="84"/>
      <c r="F21" s="90">
        <f>SUM(F10:F20)</f>
        <v>-6680000</v>
      </c>
      <c r="G21" s="79"/>
      <c r="H21" s="79"/>
      <c r="I21" s="105">
        <f>SUM(I10:I20)</f>
        <v>-42070640</v>
      </c>
      <c r="J21" s="105">
        <f>SUM(J10:J20)</f>
        <v>0</v>
      </c>
      <c r="K21" s="82">
        <f>SUM(K10:K20)</f>
        <v>-42070640</v>
      </c>
    </row>
    <row r="22" spans="1:11" x14ac:dyDescent="0.2">
      <c r="A22" s="239"/>
      <c r="B22" s="84"/>
      <c r="C22" s="83"/>
      <c r="D22" s="79"/>
      <c r="E22" s="84"/>
      <c r="F22" s="90"/>
      <c r="G22" s="79"/>
      <c r="H22" s="79"/>
      <c r="I22" s="105"/>
      <c r="J22" s="82"/>
      <c r="K22" s="82"/>
    </row>
    <row r="23" spans="1:11" x14ac:dyDescent="0.2">
      <c r="A23" s="239"/>
      <c r="B23" s="84"/>
      <c r="C23" s="83"/>
      <c r="D23" s="79"/>
      <c r="E23" s="84"/>
      <c r="F23" s="90"/>
      <c r="G23" s="79"/>
      <c r="H23" s="79"/>
      <c r="I23" s="105"/>
      <c r="J23" s="82"/>
      <c r="K23" s="82"/>
    </row>
    <row r="24" spans="1:11" x14ac:dyDescent="0.2">
      <c r="A24" s="239">
        <v>36923</v>
      </c>
      <c r="B24" s="84"/>
      <c r="C24" s="83" t="s">
        <v>32</v>
      </c>
      <c r="D24" s="79"/>
      <c r="E24" s="84"/>
      <c r="F24" s="90">
        <f>20000*28</f>
        <v>560000</v>
      </c>
      <c r="G24" s="79">
        <f>+[3]NYMEX!$C8</f>
        <v>6.2930000000000001</v>
      </c>
      <c r="H24" s="79"/>
      <c r="I24" s="105">
        <f>+G24*F24</f>
        <v>3524080</v>
      </c>
      <c r="J24" s="82"/>
      <c r="K24" s="82">
        <f>+J24+I24</f>
        <v>3524080</v>
      </c>
    </row>
    <row r="25" spans="1:11" x14ac:dyDescent="0.2">
      <c r="A25" s="239">
        <v>36951</v>
      </c>
      <c r="B25" s="84"/>
      <c r="C25" s="83" t="s">
        <v>32</v>
      </c>
      <c r="D25" s="79"/>
      <c r="E25" s="84"/>
      <c r="F25" s="90">
        <f>20000*31</f>
        <v>620000</v>
      </c>
      <c r="G25" s="79">
        <f>+[3]NYMEX!$C9</f>
        <v>5.7069999999999999</v>
      </c>
      <c r="H25" s="79"/>
      <c r="I25" s="105">
        <f t="shared" ref="I25:I34" si="2">+G25*F25</f>
        <v>3538340</v>
      </c>
      <c r="J25" s="82"/>
      <c r="K25" s="82">
        <f t="shared" ref="K25:K34" si="3">+J25+I25</f>
        <v>3538340</v>
      </c>
    </row>
    <row r="26" spans="1:11" x14ac:dyDescent="0.2">
      <c r="A26" s="239">
        <v>36982</v>
      </c>
      <c r="B26" s="84"/>
      <c r="C26" s="83" t="s">
        <v>32</v>
      </c>
      <c r="D26" s="79"/>
      <c r="E26" s="84"/>
      <c r="F26" s="90">
        <f>20000*30</f>
        <v>600000</v>
      </c>
      <c r="G26" s="79">
        <f>+[3]NYMEX!$C10</f>
        <v>5.3</v>
      </c>
      <c r="H26" s="79"/>
      <c r="I26" s="105">
        <f t="shared" si="2"/>
        <v>3180000</v>
      </c>
      <c r="J26" s="82"/>
      <c r="K26" s="82">
        <f t="shared" si="3"/>
        <v>3180000</v>
      </c>
    </row>
    <row r="27" spans="1:11" x14ac:dyDescent="0.2">
      <c r="A27" s="239">
        <v>37012</v>
      </c>
      <c r="B27" s="84"/>
      <c r="C27" s="83" t="s">
        <v>32</v>
      </c>
      <c r="D27" s="79"/>
      <c r="E27" s="84"/>
      <c r="F27" s="90">
        <f>20000*31</f>
        <v>620000</v>
      </c>
      <c r="G27" s="79">
        <f>+[3]NYMEX!$C11</f>
        <v>5.16</v>
      </c>
      <c r="H27" s="79"/>
      <c r="I27" s="105">
        <f t="shared" si="2"/>
        <v>3199200</v>
      </c>
      <c r="J27" s="82"/>
      <c r="K27" s="82">
        <f t="shared" si="3"/>
        <v>3199200</v>
      </c>
    </row>
    <row r="28" spans="1:11" x14ac:dyDescent="0.2">
      <c r="A28" s="239">
        <v>37043</v>
      </c>
      <c r="B28" s="84"/>
      <c r="C28" s="83" t="s">
        <v>32</v>
      </c>
      <c r="D28" s="79"/>
      <c r="E28" s="84"/>
      <c r="F28" s="90">
        <f>20000*30</f>
        <v>600000</v>
      </c>
      <c r="G28" s="79">
        <f>+[3]NYMEX!$C12</f>
        <v>5.18</v>
      </c>
      <c r="H28" s="79"/>
      <c r="I28" s="105">
        <f t="shared" si="2"/>
        <v>3108000</v>
      </c>
      <c r="J28" s="82"/>
      <c r="K28" s="82">
        <f t="shared" si="3"/>
        <v>3108000</v>
      </c>
    </row>
    <row r="29" spans="1:11" x14ac:dyDescent="0.2">
      <c r="A29" s="239">
        <v>37073</v>
      </c>
      <c r="B29" s="84"/>
      <c r="C29" s="83" t="s">
        <v>32</v>
      </c>
      <c r="D29" s="79"/>
      <c r="E29" s="84"/>
      <c r="F29" s="90">
        <f>20000*31</f>
        <v>620000</v>
      </c>
      <c r="G29" s="79">
        <f>+[3]NYMEX!$C13</f>
        <v>5.22</v>
      </c>
      <c r="H29" s="79"/>
      <c r="I29" s="105">
        <f t="shared" si="2"/>
        <v>3236400</v>
      </c>
      <c r="J29" s="82"/>
      <c r="K29" s="82">
        <f t="shared" si="3"/>
        <v>3236400</v>
      </c>
    </row>
    <row r="30" spans="1:11" x14ac:dyDescent="0.2">
      <c r="A30" s="239">
        <v>37104</v>
      </c>
      <c r="B30" s="84"/>
      <c r="C30" s="83" t="s">
        <v>32</v>
      </c>
      <c r="D30" s="79"/>
      <c r="E30" s="84"/>
      <c r="F30" s="90">
        <f>20000*31</f>
        <v>620000</v>
      </c>
      <c r="G30" s="79">
        <f>+[3]NYMEX!$C14</f>
        <v>5.23</v>
      </c>
      <c r="H30" s="79"/>
      <c r="I30" s="105">
        <f t="shared" si="2"/>
        <v>3242600.0000000005</v>
      </c>
      <c r="J30" s="82"/>
      <c r="K30" s="82">
        <f t="shared" si="3"/>
        <v>3242600.0000000005</v>
      </c>
    </row>
    <row r="31" spans="1:11" x14ac:dyDescent="0.2">
      <c r="A31" s="239">
        <v>37135</v>
      </c>
      <c r="B31" s="84"/>
      <c r="C31" s="83" t="s">
        <v>32</v>
      </c>
      <c r="D31" s="79"/>
      <c r="E31" s="84"/>
      <c r="F31" s="90">
        <f>20000*30</f>
        <v>600000</v>
      </c>
      <c r="G31" s="79">
        <f>+[3]NYMEX!$C15</f>
        <v>5.2</v>
      </c>
      <c r="H31" s="79"/>
      <c r="I31" s="105">
        <f t="shared" si="2"/>
        <v>3120000</v>
      </c>
      <c r="J31" s="82"/>
      <c r="K31" s="82">
        <f t="shared" si="3"/>
        <v>3120000</v>
      </c>
    </row>
    <row r="32" spans="1:11" x14ac:dyDescent="0.2">
      <c r="A32" s="239">
        <v>37165</v>
      </c>
      <c r="B32" s="84"/>
      <c r="C32" s="83" t="s">
        <v>32</v>
      </c>
      <c r="D32" s="79"/>
      <c r="E32" s="84"/>
      <c r="F32" s="90">
        <f>20000*31</f>
        <v>620000</v>
      </c>
      <c r="G32" s="79">
        <f>+[3]NYMEX!$C16</f>
        <v>5.2149999999999999</v>
      </c>
      <c r="H32" s="79"/>
      <c r="I32" s="105">
        <f t="shared" si="2"/>
        <v>3233300</v>
      </c>
      <c r="J32" s="82"/>
      <c r="K32" s="82">
        <f t="shared" si="3"/>
        <v>3233300</v>
      </c>
    </row>
    <row r="33" spans="1:11" x14ac:dyDescent="0.2">
      <c r="A33" s="239">
        <v>37196</v>
      </c>
      <c r="B33" s="84"/>
      <c r="C33" s="83" t="s">
        <v>32</v>
      </c>
      <c r="D33" s="79"/>
      <c r="E33" s="84"/>
      <c r="F33" s="90">
        <f>20000*30</f>
        <v>600000</v>
      </c>
      <c r="G33" s="79">
        <f>+[3]NYMEX!$C17</f>
        <v>5.3049999999999997</v>
      </c>
      <c r="H33" s="79"/>
      <c r="I33" s="105">
        <f t="shared" si="2"/>
        <v>3183000</v>
      </c>
      <c r="J33" s="82"/>
      <c r="K33" s="82">
        <f t="shared" si="3"/>
        <v>3183000</v>
      </c>
    </row>
    <row r="34" spans="1:11" x14ac:dyDescent="0.2">
      <c r="A34" s="239">
        <v>37226</v>
      </c>
      <c r="B34" s="84"/>
      <c r="C34" s="83" t="s">
        <v>32</v>
      </c>
      <c r="D34" s="79"/>
      <c r="E34" s="84"/>
      <c r="F34" s="97">
        <f>20000*31</f>
        <v>620000</v>
      </c>
      <c r="G34" s="79">
        <f>+[3]NYMEX!$C18</f>
        <v>5.44</v>
      </c>
      <c r="H34" s="79"/>
      <c r="I34" s="114">
        <f t="shared" si="2"/>
        <v>3372800.0000000005</v>
      </c>
      <c r="J34" s="98"/>
      <c r="K34" s="99">
        <f t="shared" si="3"/>
        <v>3372800.0000000005</v>
      </c>
    </row>
    <row r="35" spans="1:11" x14ac:dyDescent="0.2">
      <c r="A35" s="239"/>
      <c r="B35" s="84"/>
      <c r="C35" s="83"/>
      <c r="D35" s="79"/>
      <c r="E35" s="84"/>
      <c r="F35" s="90">
        <f>SUM(F24:F34)</f>
        <v>6680000</v>
      </c>
      <c r="G35" s="79"/>
      <c r="H35" s="79"/>
      <c r="I35" s="105">
        <f>SUM(I24:I34)</f>
        <v>35937720</v>
      </c>
      <c r="J35" s="105">
        <f>SUM(J24:J34)</f>
        <v>0</v>
      </c>
      <c r="K35" s="105">
        <f>SUM(K24:K34)</f>
        <v>35937720</v>
      </c>
    </row>
    <row r="36" spans="1:11" x14ac:dyDescent="0.2">
      <c r="A36" s="84"/>
      <c r="B36" s="84"/>
      <c r="C36" s="84"/>
      <c r="D36" s="84"/>
      <c r="E36" s="84"/>
      <c r="F36" s="84"/>
      <c r="G36" s="84">
        <f>SUM(G24:G34)/11</f>
        <v>5.3863636363636367</v>
      </c>
      <c r="H36" s="84"/>
      <c r="I36" s="84"/>
      <c r="J36" s="85"/>
      <c r="K36" s="85"/>
    </row>
    <row r="37" spans="1:11" ht="12" thickBot="1" x14ac:dyDescent="0.25">
      <c r="A37" s="84"/>
      <c r="B37" s="84"/>
      <c r="C37" s="84"/>
      <c r="D37" s="84"/>
      <c r="E37" s="84"/>
      <c r="F37" s="244">
        <f>+F21+F35</f>
        <v>0</v>
      </c>
      <c r="G37" s="84"/>
      <c r="H37" s="84"/>
      <c r="I37" s="107">
        <f>+I21+I35</f>
        <v>-6132920</v>
      </c>
      <c r="J37" s="107">
        <f>+J21+J35</f>
        <v>0</v>
      </c>
      <c r="K37" s="107">
        <f>+K21+K35</f>
        <v>-6132920</v>
      </c>
    </row>
    <row r="38" spans="1:11" ht="12" thickTop="1" x14ac:dyDescent="0.2">
      <c r="A38" s="109"/>
      <c r="B38" s="109"/>
      <c r="C38" s="109"/>
      <c r="D38" s="109"/>
      <c r="E38" s="109"/>
      <c r="F38" s="109"/>
      <c r="G38" s="109"/>
      <c r="H38" s="109"/>
      <c r="I38" s="109"/>
      <c r="J38" s="110"/>
      <c r="K38" s="110"/>
    </row>
    <row r="40" spans="1:11" x14ac:dyDescent="0.2">
      <c r="A40" s="29" t="s">
        <v>37</v>
      </c>
    </row>
    <row r="42" spans="1:11" x14ac:dyDescent="0.2">
      <c r="G42" s="255"/>
    </row>
    <row r="43" spans="1:11" x14ac:dyDescent="0.2">
      <c r="G43" s="256"/>
    </row>
    <row r="44" spans="1:11" x14ac:dyDescent="0.2">
      <c r="G44" s="201"/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C1" workbookViewId="0">
      <selection activeCell="K38" sqref="K38"/>
    </sheetView>
  </sheetViews>
  <sheetFormatPr defaultRowHeight="11.25" x14ac:dyDescent="0.2"/>
  <cols>
    <col min="1" max="2" width="10.7109375" style="69" customWidth="1"/>
    <col min="3" max="3" width="13.7109375" style="69" customWidth="1"/>
    <col min="4" max="4" width="10.7109375" style="69" customWidth="1"/>
    <col min="5" max="5" width="0" style="69" hidden="1" customWidth="1"/>
    <col min="6" max="6" width="12.7109375" style="69" customWidth="1"/>
    <col min="7" max="7" width="14.28515625" style="69" customWidth="1"/>
    <col min="8" max="8" width="10.7109375" style="69" customWidth="1"/>
    <col min="9" max="9" width="15" style="69" customWidth="1"/>
    <col min="10" max="10" width="13.42578125" style="69" customWidth="1"/>
    <col min="11" max="11" width="15" style="69" customWidth="1"/>
    <col min="12" max="16384" width="9.140625" style="69"/>
  </cols>
  <sheetData>
    <row r="1" spans="1:11" s="68" customFormat="1" ht="10.5" x14ac:dyDescent="0.15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ht="10.5" x14ac:dyDescent="0.15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184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185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ht="10.5" x14ac:dyDescent="0.15">
      <c r="A6" s="229" t="s">
        <v>41</v>
      </c>
      <c r="B6" s="230" t="s">
        <v>3</v>
      </c>
      <c r="C6" s="230" t="s">
        <v>3</v>
      </c>
      <c r="D6" s="230" t="s">
        <v>32</v>
      </c>
      <c r="E6" s="230"/>
      <c r="F6" s="230" t="s">
        <v>115</v>
      </c>
      <c r="G6" s="230" t="s">
        <v>186</v>
      </c>
      <c r="H6" s="230"/>
      <c r="I6" s="231" t="s">
        <v>44</v>
      </c>
      <c r="J6" s="232"/>
      <c r="K6" s="233"/>
    </row>
    <row r="7" spans="1:11" s="70" customFormat="1" ht="10.5" x14ac:dyDescent="0.15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/>
      <c r="E8" s="246"/>
      <c r="F8" s="246"/>
      <c r="G8" s="247" t="s">
        <v>174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/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36923</v>
      </c>
      <c r="B10" s="84"/>
      <c r="C10" s="83" t="s">
        <v>32</v>
      </c>
      <c r="D10" s="79">
        <v>6.2</v>
      </c>
      <c r="E10" s="84"/>
      <c r="F10" s="90">
        <f>20000*28</f>
        <v>560000</v>
      </c>
      <c r="G10" s="79"/>
      <c r="H10" s="79"/>
      <c r="I10" s="105">
        <f>+F10*D10</f>
        <v>3472000</v>
      </c>
      <c r="J10" s="82"/>
      <c r="K10" s="82">
        <f t="shared" ref="K10:K20" si="0">+I10</f>
        <v>3472000</v>
      </c>
    </row>
    <row r="11" spans="1:11" x14ac:dyDescent="0.2">
      <c r="A11" s="239">
        <v>36951</v>
      </c>
      <c r="B11" s="84"/>
      <c r="C11" s="83" t="s">
        <v>32</v>
      </c>
      <c r="D11" s="79">
        <v>6.2</v>
      </c>
      <c r="E11" s="84"/>
      <c r="F11" s="90">
        <f>20000*31</f>
        <v>620000</v>
      </c>
      <c r="G11" s="79"/>
      <c r="H11" s="79"/>
      <c r="I11" s="105">
        <f t="shared" ref="I11:I20" si="1">+F11*D11</f>
        <v>3844000</v>
      </c>
      <c r="J11" s="82"/>
      <c r="K11" s="82">
        <f t="shared" si="0"/>
        <v>3844000</v>
      </c>
    </row>
    <row r="12" spans="1:11" x14ac:dyDescent="0.2">
      <c r="A12" s="239">
        <v>36982</v>
      </c>
      <c r="B12" s="84"/>
      <c r="C12" s="83" t="s">
        <v>32</v>
      </c>
      <c r="D12" s="79">
        <v>6.2</v>
      </c>
      <c r="E12" s="84"/>
      <c r="F12" s="90">
        <f>20000*30</f>
        <v>600000</v>
      </c>
      <c r="G12" s="79"/>
      <c r="H12" s="79"/>
      <c r="I12" s="105">
        <f t="shared" si="1"/>
        <v>3720000</v>
      </c>
      <c r="J12" s="82"/>
      <c r="K12" s="82">
        <f t="shared" si="0"/>
        <v>3720000</v>
      </c>
    </row>
    <row r="13" spans="1:11" x14ac:dyDescent="0.2">
      <c r="A13" s="239">
        <v>37012</v>
      </c>
      <c r="B13" s="84"/>
      <c r="C13" s="83" t="s">
        <v>32</v>
      </c>
      <c r="D13" s="79">
        <v>6.2</v>
      </c>
      <c r="E13" s="84"/>
      <c r="F13" s="90">
        <f>20000*31</f>
        <v>620000</v>
      </c>
      <c r="G13" s="79"/>
      <c r="H13" s="79"/>
      <c r="I13" s="105">
        <f t="shared" si="1"/>
        <v>3844000</v>
      </c>
      <c r="J13" s="82"/>
      <c r="K13" s="82">
        <f t="shared" si="0"/>
        <v>3844000</v>
      </c>
    </row>
    <row r="14" spans="1:11" x14ac:dyDescent="0.2">
      <c r="A14" s="239">
        <v>37043</v>
      </c>
      <c r="B14" s="84"/>
      <c r="C14" s="83" t="s">
        <v>32</v>
      </c>
      <c r="D14" s="79">
        <v>6.2</v>
      </c>
      <c r="E14" s="84"/>
      <c r="F14" s="90">
        <f>20000*30</f>
        <v>600000</v>
      </c>
      <c r="G14" s="79"/>
      <c r="H14" s="79"/>
      <c r="I14" s="105">
        <f t="shared" si="1"/>
        <v>3720000</v>
      </c>
      <c r="J14" s="82"/>
      <c r="K14" s="82">
        <f t="shared" si="0"/>
        <v>3720000</v>
      </c>
    </row>
    <row r="15" spans="1:11" x14ac:dyDescent="0.2">
      <c r="A15" s="239">
        <v>37073</v>
      </c>
      <c r="B15" s="84"/>
      <c r="C15" s="83" t="s">
        <v>32</v>
      </c>
      <c r="D15" s="79">
        <v>6.2</v>
      </c>
      <c r="E15" s="84"/>
      <c r="F15" s="90">
        <f>20000*31</f>
        <v>620000</v>
      </c>
      <c r="G15" s="79"/>
      <c r="H15" s="79"/>
      <c r="I15" s="105">
        <f t="shared" si="1"/>
        <v>3844000</v>
      </c>
      <c r="J15" s="82"/>
      <c r="K15" s="82">
        <f t="shared" si="0"/>
        <v>3844000</v>
      </c>
    </row>
    <row r="16" spans="1:11" x14ac:dyDescent="0.2">
      <c r="A16" s="239">
        <v>37104</v>
      </c>
      <c r="B16" s="84"/>
      <c r="C16" s="83" t="s">
        <v>32</v>
      </c>
      <c r="D16" s="79">
        <v>6.2</v>
      </c>
      <c r="E16" s="84"/>
      <c r="F16" s="90">
        <f>20000*31</f>
        <v>620000</v>
      </c>
      <c r="G16" s="79"/>
      <c r="H16" s="79"/>
      <c r="I16" s="105">
        <f t="shared" si="1"/>
        <v>3844000</v>
      </c>
      <c r="J16" s="82"/>
      <c r="K16" s="82">
        <f t="shared" si="0"/>
        <v>3844000</v>
      </c>
    </row>
    <row r="17" spans="1:11" x14ac:dyDescent="0.2">
      <c r="A17" s="239">
        <v>37135</v>
      </c>
      <c r="B17" s="84"/>
      <c r="C17" s="83" t="s">
        <v>32</v>
      </c>
      <c r="D17" s="79">
        <v>6.2</v>
      </c>
      <c r="E17" s="84"/>
      <c r="F17" s="90">
        <f>20000*30</f>
        <v>600000</v>
      </c>
      <c r="G17" s="79"/>
      <c r="H17" s="79"/>
      <c r="I17" s="105">
        <f t="shared" si="1"/>
        <v>3720000</v>
      </c>
      <c r="J17" s="82"/>
      <c r="K17" s="82">
        <f t="shared" si="0"/>
        <v>3720000</v>
      </c>
    </row>
    <row r="18" spans="1:11" x14ac:dyDescent="0.2">
      <c r="A18" s="239">
        <v>37165</v>
      </c>
      <c r="B18" s="84"/>
      <c r="C18" s="83" t="s">
        <v>32</v>
      </c>
      <c r="D18" s="79">
        <v>6.2</v>
      </c>
      <c r="E18" s="84"/>
      <c r="F18" s="90">
        <f>20000*31</f>
        <v>620000</v>
      </c>
      <c r="G18" s="79"/>
      <c r="H18" s="79"/>
      <c r="I18" s="105">
        <f t="shared" si="1"/>
        <v>3844000</v>
      </c>
      <c r="J18" s="82"/>
      <c r="K18" s="82">
        <f t="shared" si="0"/>
        <v>3844000</v>
      </c>
    </row>
    <row r="19" spans="1:11" x14ac:dyDescent="0.2">
      <c r="A19" s="239">
        <v>37196</v>
      </c>
      <c r="B19" s="84"/>
      <c r="C19" s="83" t="s">
        <v>32</v>
      </c>
      <c r="D19" s="79">
        <v>6.2</v>
      </c>
      <c r="E19" s="84"/>
      <c r="F19" s="90">
        <f>20000*30</f>
        <v>600000</v>
      </c>
      <c r="G19" s="79"/>
      <c r="H19" s="79"/>
      <c r="I19" s="105">
        <f t="shared" si="1"/>
        <v>3720000</v>
      </c>
      <c r="J19" s="82"/>
      <c r="K19" s="82">
        <f t="shared" si="0"/>
        <v>3720000</v>
      </c>
    </row>
    <row r="20" spans="1:11" x14ac:dyDescent="0.2">
      <c r="A20" s="239">
        <v>37226</v>
      </c>
      <c r="B20" s="84"/>
      <c r="C20" s="83" t="s">
        <v>32</v>
      </c>
      <c r="D20" s="79">
        <v>6.2</v>
      </c>
      <c r="E20" s="84"/>
      <c r="F20" s="97">
        <f>20000*31</f>
        <v>620000</v>
      </c>
      <c r="G20" s="79"/>
      <c r="H20" s="79"/>
      <c r="I20" s="114">
        <f t="shared" si="1"/>
        <v>3844000</v>
      </c>
      <c r="J20" s="98"/>
      <c r="K20" s="98">
        <f t="shared" si="0"/>
        <v>3844000</v>
      </c>
    </row>
    <row r="21" spans="1:11" x14ac:dyDescent="0.2">
      <c r="A21" s="239"/>
      <c r="B21" s="84"/>
      <c r="C21" s="83"/>
      <c r="D21" s="79"/>
      <c r="E21" s="84"/>
      <c r="F21" s="90">
        <f>SUM(F10:F20)</f>
        <v>6680000</v>
      </c>
      <c r="G21" s="79"/>
      <c r="H21" s="79"/>
      <c r="I21" s="105">
        <f>SUM(I10:I20)</f>
        <v>41416000</v>
      </c>
      <c r="J21" s="105">
        <f>SUM(J10:J20)</f>
        <v>0</v>
      </c>
      <c r="K21" s="82">
        <f>SUM(K10:K20)</f>
        <v>41416000</v>
      </c>
    </row>
    <row r="22" spans="1:11" x14ac:dyDescent="0.2">
      <c r="A22" s="239"/>
      <c r="B22" s="84"/>
      <c r="C22" s="83"/>
      <c r="D22" s="79"/>
      <c r="E22" s="84"/>
      <c r="F22" s="90"/>
      <c r="G22" s="79"/>
      <c r="H22" s="79"/>
      <c r="I22" s="105"/>
      <c r="J22" s="82"/>
      <c r="K22" s="82"/>
    </row>
    <row r="23" spans="1:11" x14ac:dyDescent="0.2">
      <c r="A23" s="239"/>
      <c r="B23" s="84"/>
      <c r="C23" s="83"/>
      <c r="D23" s="79"/>
      <c r="E23" s="84"/>
      <c r="F23" s="90"/>
      <c r="G23" s="79"/>
      <c r="H23" s="79"/>
      <c r="I23" s="105"/>
      <c r="J23" s="82"/>
      <c r="K23" s="82"/>
    </row>
    <row r="24" spans="1:11" x14ac:dyDescent="0.2">
      <c r="A24" s="239">
        <v>36923</v>
      </c>
      <c r="B24" s="84"/>
      <c r="C24" s="83" t="s">
        <v>186</v>
      </c>
      <c r="D24" s="79"/>
      <c r="E24" s="84"/>
      <c r="F24" s="90">
        <f>-20000*28</f>
        <v>-560000</v>
      </c>
      <c r="G24" s="79">
        <f>+[3]NYMEX!$C8</f>
        <v>6.2930000000000001</v>
      </c>
      <c r="H24" s="79"/>
      <c r="I24" s="105">
        <f>+G24*F24</f>
        <v>-3524080</v>
      </c>
      <c r="J24" s="82"/>
      <c r="K24" s="82">
        <f>+J24+I24</f>
        <v>-3524080</v>
      </c>
    </row>
    <row r="25" spans="1:11" x14ac:dyDescent="0.2">
      <c r="A25" s="239">
        <v>36951</v>
      </c>
      <c r="B25" s="84"/>
      <c r="C25" s="83" t="s">
        <v>186</v>
      </c>
      <c r="D25" s="79"/>
      <c r="E25" s="84"/>
      <c r="F25" s="90">
        <f>-20000*31</f>
        <v>-620000</v>
      </c>
      <c r="G25" s="79">
        <f>+[3]NYMEX!$C9</f>
        <v>5.7069999999999999</v>
      </c>
      <c r="H25" s="79"/>
      <c r="I25" s="105">
        <f t="shared" ref="I25:I34" si="2">+G25*F25</f>
        <v>-3538340</v>
      </c>
      <c r="J25" s="82"/>
      <c r="K25" s="82">
        <f t="shared" ref="K25:K34" si="3">+J25+I25</f>
        <v>-3538340</v>
      </c>
    </row>
    <row r="26" spans="1:11" x14ac:dyDescent="0.2">
      <c r="A26" s="239">
        <v>36982</v>
      </c>
      <c r="B26" s="84"/>
      <c r="C26" s="83" t="s">
        <v>186</v>
      </c>
      <c r="D26" s="79"/>
      <c r="E26" s="84"/>
      <c r="F26" s="90">
        <f>-20000*30</f>
        <v>-600000</v>
      </c>
      <c r="G26" s="79">
        <f>+[3]NYMEX!$C10</f>
        <v>5.3</v>
      </c>
      <c r="H26" s="79"/>
      <c r="I26" s="105">
        <f t="shared" si="2"/>
        <v>-3180000</v>
      </c>
      <c r="J26" s="82"/>
      <c r="K26" s="82">
        <f t="shared" si="3"/>
        <v>-3180000</v>
      </c>
    </row>
    <row r="27" spans="1:11" x14ac:dyDescent="0.2">
      <c r="A27" s="239">
        <v>37012</v>
      </c>
      <c r="B27" s="84"/>
      <c r="C27" s="83" t="s">
        <v>186</v>
      </c>
      <c r="D27" s="79"/>
      <c r="E27" s="84"/>
      <c r="F27" s="90">
        <f>-20000*31</f>
        <v>-620000</v>
      </c>
      <c r="G27" s="79">
        <f>+[3]NYMEX!$C11</f>
        <v>5.16</v>
      </c>
      <c r="H27" s="79"/>
      <c r="I27" s="105">
        <f t="shared" si="2"/>
        <v>-3199200</v>
      </c>
      <c r="J27" s="82"/>
      <c r="K27" s="82">
        <f t="shared" si="3"/>
        <v>-3199200</v>
      </c>
    </row>
    <row r="28" spans="1:11" x14ac:dyDescent="0.2">
      <c r="A28" s="239">
        <v>37043</v>
      </c>
      <c r="B28" s="84"/>
      <c r="C28" s="83" t="s">
        <v>186</v>
      </c>
      <c r="D28" s="79"/>
      <c r="E28" s="84"/>
      <c r="F28" s="90">
        <f>-20000*30</f>
        <v>-600000</v>
      </c>
      <c r="G28" s="79">
        <f>+[3]NYMEX!$C12</f>
        <v>5.18</v>
      </c>
      <c r="H28" s="79"/>
      <c r="I28" s="105">
        <f t="shared" si="2"/>
        <v>-3108000</v>
      </c>
      <c r="J28" s="82"/>
      <c r="K28" s="82">
        <f t="shared" si="3"/>
        <v>-3108000</v>
      </c>
    </row>
    <row r="29" spans="1:11" x14ac:dyDescent="0.2">
      <c r="A29" s="239">
        <v>37073</v>
      </c>
      <c r="B29" s="84"/>
      <c r="C29" s="83" t="s">
        <v>186</v>
      </c>
      <c r="D29" s="79"/>
      <c r="E29" s="84"/>
      <c r="F29" s="90">
        <f>-20000*31</f>
        <v>-620000</v>
      </c>
      <c r="G29" s="79">
        <f>+[3]NYMEX!$C13</f>
        <v>5.22</v>
      </c>
      <c r="H29" s="79"/>
      <c r="I29" s="105">
        <f t="shared" si="2"/>
        <v>-3236400</v>
      </c>
      <c r="J29" s="82"/>
      <c r="K29" s="82">
        <f t="shared" si="3"/>
        <v>-3236400</v>
      </c>
    </row>
    <row r="30" spans="1:11" x14ac:dyDescent="0.2">
      <c r="A30" s="239">
        <v>37104</v>
      </c>
      <c r="B30" s="84"/>
      <c r="C30" s="83" t="s">
        <v>186</v>
      </c>
      <c r="D30" s="79"/>
      <c r="E30" s="84"/>
      <c r="F30" s="90">
        <f>-20000*31</f>
        <v>-620000</v>
      </c>
      <c r="G30" s="79">
        <f>+[3]NYMEX!$C14</f>
        <v>5.23</v>
      </c>
      <c r="H30" s="79"/>
      <c r="I30" s="105">
        <f t="shared" si="2"/>
        <v>-3242600.0000000005</v>
      </c>
      <c r="J30" s="82"/>
      <c r="K30" s="82">
        <f t="shared" si="3"/>
        <v>-3242600.0000000005</v>
      </c>
    </row>
    <row r="31" spans="1:11" x14ac:dyDescent="0.2">
      <c r="A31" s="239">
        <v>37135</v>
      </c>
      <c r="B31" s="84"/>
      <c r="C31" s="83" t="s">
        <v>186</v>
      </c>
      <c r="D31" s="79"/>
      <c r="E31" s="84"/>
      <c r="F31" s="90">
        <f>-20000*30</f>
        <v>-600000</v>
      </c>
      <c r="G31" s="79">
        <f>+[3]NYMEX!$C15</f>
        <v>5.2</v>
      </c>
      <c r="H31" s="79"/>
      <c r="I31" s="105">
        <f t="shared" si="2"/>
        <v>-3120000</v>
      </c>
      <c r="J31" s="82"/>
      <c r="K31" s="82">
        <f t="shared" si="3"/>
        <v>-3120000</v>
      </c>
    </row>
    <row r="32" spans="1:11" x14ac:dyDescent="0.2">
      <c r="A32" s="239">
        <v>37165</v>
      </c>
      <c r="B32" s="84"/>
      <c r="C32" s="83" t="s">
        <v>186</v>
      </c>
      <c r="D32" s="79"/>
      <c r="E32" s="84"/>
      <c r="F32" s="90">
        <f>-20000*31</f>
        <v>-620000</v>
      </c>
      <c r="G32" s="79">
        <f>+[3]NYMEX!$C16</f>
        <v>5.2149999999999999</v>
      </c>
      <c r="H32" s="79"/>
      <c r="I32" s="105">
        <f t="shared" si="2"/>
        <v>-3233300</v>
      </c>
      <c r="J32" s="82"/>
      <c r="K32" s="82">
        <f t="shared" si="3"/>
        <v>-3233300</v>
      </c>
    </row>
    <row r="33" spans="1:11" x14ac:dyDescent="0.2">
      <c r="A33" s="239">
        <v>37196</v>
      </c>
      <c r="B33" s="84"/>
      <c r="C33" s="83" t="s">
        <v>186</v>
      </c>
      <c r="D33" s="79"/>
      <c r="E33" s="84"/>
      <c r="F33" s="90">
        <f>-20000*30</f>
        <v>-600000</v>
      </c>
      <c r="G33" s="79">
        <f>+[3]NYMEX!$C17</f>
        <v>5.3049999999999997</v>
      </c>
      <c r="H33" s="79"/>
      <c r="I33" s="105">
        <f t="shared" si="2"/>
        <v>-3183000</v>
      </c>
      <c r="J33" s="82"/>
      <c r="K33" s="82">
        <f t="shared" si="3"/>
        <v>-3183000</v>
      </c>
    </row>
    <row r="34" spans="1:11" x14ac:dyDescent="0.2">
      <c r="A34" s="239">
        <v>37226</v>
      </c>
      <c r="B34" s="84"/>
      <c r="C34" s="83" t="s">
        <v>186</v>
      </c>
      <c r="D34" s="79"/>
      <c r="E34" s="84"/>
      <c r="F34" s="97">
        <f>-20000*31</f>
        <v>-620000</v>
      </c>
      <c r="G34" s="79">
        <f>+[3]NYMEX!$C18</f>
        <v>5.44</v>
      </c>
      <c r="H34" s="79"/>
      <c r="I34" s="114">
        <f t="shared" si="2"/>
        <v>-3372800.0000000005</v>
      </c>
      <c r="J34" s="98"/>
      <c r="K34" s="99">
        <f t="shared" si="3"/>
        <v>-3372800.0000000005</v>
      </c>
    </row>
    <row r="35" spans="1:11" x14ac:dyDescent="0.2">
      <c r="A35" s="239"/>
      <c r="B35" s="84"/>
      <c r="C35" s="83"/>
      <c r="D35" s="79"/>
      <c r="E35" s="84"/>
      <c r="F35" s="90">
        <f>SUM(F24:F34)</f>
        <v>-6680000</v>
      </c>
      <c r="G35" s="79"/>
      <c r="H35" s="79"/>
      <c r="I35" s="105">
        <f>SUM(I24:I34)</f>
        <v>-35937720</v>
      </c>
      <c r="J35" s="105">
        <f>SUM(J24:J34)</f>
        <v>0</v>
      </c>
      <c r="K35" s="105">
        <f>SUM(K24:K34)</f>
        <v>-35937720</v>
      </c>
    </row>
    <row r="36" spans="1:11" x14ac:dyDescent="0.2">
      <c r="A36" s="239"/>
      <c r="B36" s="84"/>
      <c r="C36" s="83"/>
      <c r="D36" s="79"/>
      <c r="E36" s="84"/>
      <c r="F36" s="90"/>
      <c r="G36" s="79"/>
      <c r="H36" s="79"/>
      <c r="I36" s="105"/>
      <c r="J36" s="82"/>
      <c r="K36" s="82"/>
    </row>
    <row r="37" spans="1:11" x14ac:dyDescent="0.2">
      <c r="A37" s="84"/>
      <c r="B37" s="84"/>
      <c r="C37" s="84"/>
      <c r="D37" s="84"/>
      <c r="E37" s="84"/>
      <c r="F37" s="84"/>
      <c r="G37" s="84"/>
      <c r="H37" s="84"/>
      <c r="I37" s="84"/>
      <c r="J37" s="85"/>
      <c r="K37" s="85"/>
    </row>
    <row r="38" spans="1:11" ht="12" thickBot="1" x14ac:dyDescent="0.25">
      <c r="A38" s="84"/>
      <c r="B38" s="84"/>
      <c r="C38" s="84"/>
      <c r="D38" s="84"/>
      <c r="E38" s="84"/>
      <c r="F38" s="244">
        <f>+F35+F21</f>
        <v>0</v>
      </c>
      <c r="G38" s="84"/>
      <c r="H38" s="84"/>
      <c r="I38" s="107">
        <f>+I21+I35</f>
        <v>5478280</v>
      </c>
      <c r="J38" s="107">
        <f>+J21+J35</f>
        <v>0</v>
      </c>
      <c r="K38" s="107">
        <f>+K21+K35</f>
        <v>5478280</v>
      </c>
    </row>
    <row r="39" spans="1:11" ht="12" thickTop="1" x14ac:dyDescent="0.2">
      <c r="A39" s="109"/>
      <c r="B39" s="109"/>
      <c r="C39" s="109"/>
      <c r="D39" s="109"/>
      <c r="E39" s="109"/>
      <c r="F39" s="109"/>
      <c r="G39" s="109"/>
      <c r="H39" s="109"/>
      <c r="I39" s="109"/>
      <c r="J39" s="110"/>
      <c r="K39" s="110"/>
    </row>
    <row r="41" spans="1:11" x14ac:dyDescent="0.2">
      <c r="A41" s="29" t="s">
        <v>37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opLeftCell="A5" workbookViewId="0">
      <selection activeCell="D10" sqref="D10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190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148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0.24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36923</v>
      </c>
      <c r="B10" s="15"/>
      <c r="C10" s="16" t="s">
        <v>98</v>
      </c>
      <c r="D10" s="32">
        <f>+'[3]Henry Hub'!$E12+D9</f>
        <v>6.5330000000000004</v>
      </c>
      <c r="E10" s="15"/>
      <c r="F10" s="18">
        <f>-10000*28</f>
        <v>-280000</v>
      </c>
      <c r="G10" s="32"/>
      <c r="H10" s="32">
        <f>+[3]Demarc!$E$12</f>
        <v>6.423</v>
      </c>
      <c r="I10" s="17">
        <f>(+D10-H10)*F10</f>
        <v>-30800.000000000091</v>
      </c>
      <c r="J10" s="41"/>
      <c r="K10" s="41">
        <f>+I10</f>
        <v>-30800.000000000091</v>
      </c>
    </row>
    <row r="11" spans="1:12" x14ac:dyDescent="0.2">
      <c r="A11" s="31">
        <v>36951</v>
      </c>
      <c r="B11" s="15"/>
      <c r="C11" s="16" t="s">
        <v>98</v>
      </c>
      <c r="D11" s="32">
        <f>+'[3]Henry Hub'!$E$13+D9</f>
        <v>5.9470000000000001</v>
      </c>
      <c r="E11" s="15"/>
      <c r="F11" s="18">
        <f>-10000*31</f>
        <v>-310000</v>
      </c>
      <c r="G11" s="32"/>
      <c r="H11" s="32">
        <f>+[3]Demarc!$E$13</f>
        <v>5.8369999999999997</v>
      </c>
      <c r="I11" s="17">
        <f>(+D11-H11)*F11</f>
        <v>-34100.000000000102</v>
      </c>
      <c r="J11" s="41"/>
      <c r="K11" s="41">
        <f>+I11</f>
        <v>-34100.000000000102</v>
      </c>
    </row>
    <row r="12" spans="1:12" x14ac:dyDescent="0.2">
      <c r="A12" s="31"/>
      <c r="B12" s="15"/>
      <c r="C12" s="16"/>
      <c r="D12" s="32"/>
      <c r="E12" s="15"/>
      <c r="F12" s="65"/>
      <c r="G12" s="15"/>
      <c r="H12" s="32"/>
      <c r="I12" s="66"/>
      <c r="J12" s="26"/>
      <c r="K12" s="67"/>
    </row>
    <row r="13" spans="1:12" x14ac:dyDescent="0.2">
      <c r="A13" s="31"/>
      <c r="B13" s="15"/>
      <c r="C13" s="16"/>
      <c r="D13" s="32"/>
      <c r="E13" s="15"/>
      <c r="F13" s="18">
        <f>SUM(F10:F12)</f>
        <v>-590000</v>
      </c>
      <c r="G13" s="15"/>
      <c r="H13" s="32"/>
      <c r="I13" s="17">
        <f>SUM(I10:I12)</f>
        <v>-64900.000000000189</v>
      </c>
      <c r="J13" s="17">
        <f>SUM(J10:J12)</f>
        <v>0</v>
      </c>
      <c r="K13" s="17">
        <f>SUM(K10:K12)</f>
        <v>-64900.000000000189</v>
      </c>
    </row>
    <row r="14" spans="1:12" x14ac:dyDescent="0.2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x14ac:dyDescent="0.2">
      <c r="A15" s="31"/>
      <c r="B15" s="15"/>
      <c r="C15" s="16"/>
      <c r="D15" s="32"/>
      <c r="E15" s="15"/>
      <c r="F15" s="18"/>
      <c r="G15" s="351" t="s">
        <v>146</v>
      </c>
      <c r="H15" s="35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353" t="s">
        <v>147</v>
      </c>
      <c r="H16" s="354"/>
      <c r="I16" s="17"/>
      <c r="J16" s="39"/>
      <c r="K16" s="19"/>
    </row>
    <row r="17" spans="1:11" x14ac:dyDescent="0.2">
      <c r="A17" s="31"/>
      <c r="B17" s="15"/>
      <c r="C17" s="16"/>
      <c r="D17" s="32"/>
      <c r="E17" s="15"/>
      <c r="F17" s="18"/>
      <c r="G17" s="351" t="s">
        <v>193</v>
      </c>
      <c r="H17" s="352"/>
      <c r="I17" s="17"/>
      <c r="J17" s="39"/>
      <c r="K17" s="19"/>
    </row>
    <row r="18" spans="1:11" x14ac:dyDescent="0.2">
      <c r="A18" s="31"/>
      <c r="B18" s="15"/>
      <c r="C18" s="16"/>
      <c r="D18" s="32"/>
      <c r="E18" s="15"/>
      <c r="F18" s="18"/>
      <c r="G18" s="209" t="s">
        <v>148</v>
      </c>
      <c r="H18" s="208" t="s">
        <v>149</v>
      </c>
      <c r="I18" s="17"/>
      <c r="J18" s="39"/>
      <c r="K18" s="19"/>
    </row>
    <row r="19" spans="1:11" x14ac:dyDescent="0.2">
      <c r="A19" s="31">
        <v>36923</v>
      </c>
      <c r="B19" s="15"/>
      <c r="C19" s="16" t="s">
        <v>194</v>
      </c>
      <c r="D19" s="32"/>
      <c r="E19" s="15"/>
      <c r="F19" s="18">
        <f>5000*28</f>
        <v>140000</v>
      </c>
      <c r="G19" s="32">
        <f>+[3]Demarc!$E12</f>
        <v>6.423</v>
      </c>
      <c r="H19" s="32">
        <f>+'[3]PEPL Tx, Ok'!$E12+0.228</f>
        <v>6.4210000000000003</v>
      </c>
      <c r="I19" s="17">
        <f>(-G19+H19)*F19</f>
        <v>-279.99999999996919</v>
      </c>
      <c r="J19" s="39"/>
      <c r="K19" s="41">
        <f>+I19</f>
        <v>-279.99999999996919</v>
      </c>
    </row>
    <row r="20" spans="1:11" x14ac:dyDescent="0.2">
      <c r="A20" s="31">
        <v>36951</v>
      </c>
      <c r="B20" s="15"/>
      <c r="C20" s="16" t="s">
        <v>194</v>
      </c>
      <c r="D20" s="32"/>
      <c r="E20" s="15"/>
      <c r="F20" s="18">
        <f>5000*31</f>
        <v>155000</v>
      </c>
      <c r="G20" s="32">
        <f>+[3]Demarc!$E13</f>
        <v>5.8369999999999997</v>
      </c>
      <c r="H20" s="32">
        <f>+'[3]PEPL Tx, Ok'!$E13+0.228</f>
        <v>5.8649999999999993</v>
      </c>
      <c r="I20" s="17">
        <f>(-G20+H20)*F20</f>
        <v>4339.9999999999354</v>
      </c>
      <c r="J20" s="39"/>
      <c r="K20" s="41">
        <f>+I20</f>
        <v>4339.9999999999354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31"/>
      <c r="B22" s="15"/>
      <c r="C22" s="16"/>
      <c r="D22" s="32"/>
      <c r="E22" s="15"/>
      <c r="F22" s="18"/>
      <c r="G22" s="211"/>
      <c r="H22" s="32"/>
      <c r="I22" s="17"/>
      <c r="J22" s="39"/>
      <c r="K22" s="41"/>
    </row>
    <row r="23" spans="1:11" x14ac:dyDescent="0.2">
      <c r="A23" s="31"/>
      <c r="B23" s="15"/>
      <c r="C23" s="16"/>
      <c r="D23" s="32"/>
      <c r="E23" s="15"/>
      <c r="F23" s="65"/>
      <c r="G23" s="15"/>
      <c r="H23" s="32"/>
      <c r="I23" s="66"/>
      <c r="J23" s="26"/>
      <c r="K23" s="67"/>
    </row>
    <row r="24" spans="1:11" x14ac:dyDescent="0.2">
      <c r="A24" s="31"/>
      <c r="B24" s="15"/>
      <c r="C24" s="16"/>
      <c r="D24" s="32"/>
      <c r="E24" s="15"/>
      <c r="F24" s="18">
        <f>SUM(F19:F23)</f>
        <v>295000</v>
      </c>
      <c r="G24" s="15"/>
      <c r="H24" s="32"/>
      <c r="I24" s="17">
        <f>SUM(I19:I23)</f>
        <v>4059.9999999999663</v>
      </c>
      <c r="J24" s="17">
        <f>SUM(J19:J23)</f>
        <v>0</v>
      </c>
      <c r="K24" s="17">
        <f>SUM(K19:K23)</f>
        <v>4059.9999999999663</v>
      </c>
    </row>
    <row r="25" spans="1:11" x14ac:dyDescent="0.2">
      <c r="A25" s="31"/>
      <c r="B25" s="15"/>
      <c r="C25" s="16"/>
      <c r="D25" s="32"/>
      <c r="E25" s="15"/>
      <c r="F25" s="18"/>
      <c r="G25" s="15"/>
      <c r="H25" s="32"/>
      <c r="I25" s="17"/>
      <c r="J25" s="39"/>
      <c r="K25" s="19"/>
    </row>
    <row r="26" spans="1:11" ht="13.5" thickBot="1" x14ac:dyDescent="0.25">
      <c r="A26" s="31"/>
      <c r="B26" s="15"/>
      <c r="C26" s="16"/>
      <c r="D26" s="32"/>
      <c r="E26" s="15"/>
      <c r="F26" s="117">
        <f>+F13+F24</f>
        <v>-295000</v>
      </c>
      <c r="G26" s="15"/>
      <c r="H26" s="32"/>
      <c r="I26" s="118">
        <f>+I24+I13</f>
        <v>-60840.000000000226</v>
      </c>
      <c r="J26" s="118">
        <f>+J24+J13</f>
        <v>0</v>
      </c>
      <c r="K26" s="118">
        <f>+K24+K13</f>
        <v>-60840.000000000226</v>
      </c>
    </row>
    <row r="27" spans="1:11" ht="13.5" thickTop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40"/>
      <c r="K27" s="40"/>
    </row>
    <row r="29" spans="1:11" x14ac:dyDescent="0.2">
      <c r="A29" s="29" t="s">
        <v>37</v>
      </c>
    </row>
  </sheetData>
  <mergeCells count="4">
    <mergeCell ref="A4:K4"/>
    <mergeCell ref="G15:H15"/>
    <mergeCell ref="G16:H16"/>
    <mergeCell ref="G17:H17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opLeftCell="D6" workbookViewId="0">
      <selection activeCell="D12" sqref="D12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196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32</v>
      </c>
      <c r="E6" s="6"/>
      <c r="F6" s="6"/>
      <c r="G6" s="6"/>
      <c r="H6" s="6" t="s">
        <v>194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216</v>
      </c>
      <c r="E8" s="203"/>
      <c r="F8" s="203"/>
      <c r="G8" s="204"/>
      <c r="H8" s="9" t="s">
        <v>197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-0.1</v>
      </c>
      <c r="E9" s="12"/>
      <c r="F9" s="12"/>
      <c r="G9" s="51"/>
      <c r="H9" s="13" t="s">
        <v>198</v>
      </c>
      <c r="I9" s="58"/>
      <c r="J9" s="58"/>
      <c r="K9" s="58"/>
      <c r="L9" s="20"/>
    </row>
    <row r="10" spans="1:12" x14ac:dyDescent="0.2">
      <c r="A10" s="31">
        <v>36923</v>
      </c>
      <c r="B10" s="15"/>
      <c r="C10" s="16" t="s">
        <v>194</v>
      </c>
      <c r="D10" s="32">
        <f>+'[3]Henry Hub'!$E12+D9</f>
        <v>6.1930000000000005</v>
      </c>
      <c r="E10" s="15"/>
      <c r="F10" s="18">
        <f>10000*28</f>
        <v>280000</v>
      </c>
      <c r="G10" s="32"/>
      <c r="H10" s="32">
        <f>+'[3]PEPL Tx, Ok'!$E$12</f>
        <v>6.1930000000000005</v>
      </c>
      <c r="I10" s="17">
        <f>(+D10-H10)*F10</f>
        <v>0</v>
      </c>
      <c r="J10" s="41"/>
      <c r="K10" s="41">
        <f>+I10</f>
        <v>0</v>
      </c>
    </row>
    <row r="11" spans="1:12" x14ac:dyDescent="0.2">
      <c r="A11" s="31">
        <v>36951</v>
      </c>
      <c r="B11" s="15"/>
      <c r="C11" s="16" t="s">
        <v>194</v>
      </c>
      <c r="D11" s="32">
        <f>+'[3]Henry Hub'!$E$13+D9</f>
        <v>5.6070000000000002</v>
      </c>
      <c r="E11" s="15"/>
      <c r="F11" s="18">
        <f>10000*31</f>
        <v>310000</v>
      </c>
      <c r="G11" s="32"/>
      <c r="H11" s="32">
        <f>+'[3]PEPL Tx, Ok'!$E$13</f>
        <v>5.6369999999999996</v>
      </c>
      <c r="I11" s="17">
        <f>(+D11-H11)*F11</f>
        <v>-9299.9999999998017</v>
      </c>
      <c r="J11" s="41"/>
      <c r="K11" s="41">
        <f>+I11</f>
        <v>-9299.9999999998017</v>
      </c>
    </row>
    <row r="12" spans="1:12" x14ac:dyDescent="0.2">
      <c r="A12" s="31"/>
      <c r="B12" s="15"/>
      <c r="C12" s="16"/>
      <c r="D12" s="32"/>
      <c r="E12" s="15"/>
      <c r="F12" s="65"/>
      <c r="G12" s="15"/>
      <c r="H12" s="32"/>
      <c r="I12" s="66"/>
      <c r="J12" s="26"/>
      <c r="K12" s="67"/>
    </row>
    <row r="13" spans="1:12" x14ac:dyDescent="0.2">
      <c r="A13" s="31"/>
      <c r="B13" s="15"/>
      <c r="C13" s="16"/>
      <c r="D13" s="32"/>
      <c r="E13" s="15"/>
      <c r="F13" s="18">
        <f>SUM(F10:F12)</f>
        <v>590000</v>
      </c>
      <c r="G13" s="15"/>
      <c r="H13" s="32"/>
      <c r="I13" s="17">
        <f>SUM(I10:I12)</f>
        <v>-9299.9999999998017</v>
      </c>
      <c r="J13" s="17">
        <f>SUM(J10:J12)</f>
        <v>0</v>
      </c>
      <c r="K13" s="17">
        <f>SUM(K10:K12)</f>
        <v>-9299.9999999998017</v>
      </c>
    </row>
    <row r="14" spans="1:12" x14ac:dyDescent="0.2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x14ac:dyDescent="0.2">
      <c r="A15" s="31"/>
      <c r="B15" s="15"/>
      <c r="C15" s="16"/>
      <c r="D15" s="32"/>
      <c r="E15" s="15"/>
      <c r="F15" s="18"/>
      <c r="G15" s="351" t="s">
        <v>146</v>
      </c>
      <c r="H15" s="35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353" t="s">
        <v>147</v>
      </c>
      <c r="H16" s="354"/>
      <c r="I16" s="17"/>
      <c r="J16" s="39"/>
      <c r="K16" s="19"/>
    </row>
    <row r="17" spans="1:11" x14ac:dyDescent="0.2">
      <c r="A17" s="31"/>
      <c r="B17" s="15"/>
      <c r="C17" s="16"/>
      <c r="D17" s="32"/>
      <c r="E17" s="15"/>
      <c r="F17" s="18"/>
      <c r="G17" s="351" t="s">
        <v>193</v>
      </c>
      <c r="H17" s="352"/>
      <c r="I17" s="17"/>
      <c r="J17" s="39"/>
      <c r="K17" s="19"/>
    </row>
    <row r="18" spans="1:11" x14ac:dyDescent="0.2">
      <c r="A18" s="31"/>
      <c r="B18" s="15"/>
      <c r="C18" s="16"/>
      <c r="D18" s="32"/>
      <c r="E18" s="15"/>
      <c r="F18" s="18"/>
      <c r="G18" s="209" t="s">
        <v>148</v>
      </c>
      <c r="H18" s="208" t="s">
        <v>149</v>
      </c>
      <c r="I18" s="17"/>
      <c r="J18" s="39"/>
      <c r="K18" s="19"/>
    </row>
    <row r="19" spans="1:11" x14ac:dyDescent="0.2">
      <c r="A19" s="31">
        <v>36923</v>
      </c>
      <c r="B19" s="15"/>
      <c r="C19" s="16" t="s">
        <v>194</v>
      </c>
      <c r="D19" s="32"/>
      <c r="E19" s="15"/>
      <c r="F19" s="18">
        <f>-10000*28</f>
        <v>-280000</v>
      </c>
      <c r="G19" s="32">
        <f>+[3]Demarc!$E12</f>
        <v>6.423</v>
      </c>
      <c r="H19" s="32">
        <f>+'[3]PEPL Tx, Ok'!$E12+0.228</f>
        <v>6.4210000000000003</v>
      </c>
      <c r="I19" s="17">
        <f>(+G19-H19)*F19</f>
        <v>-559.99999999993838</v>
      </c>
      <c r="J19" s="39"/>
      <c r="K19" s="41">
        <f>+I19</f>
        <v>-559.99999999993838</v>
      </c>
    </row>
    <row r="20" spans="1:11" x14ac:dyDescent="0.2">
      <c r="A20" s="31">
        <v>36951</v>
      </c>
      <c r="B20" s="15"/>
      <c r="C20" s="16" t="s">
        <v>194</v>
      </c>
      <c r="D20" s="32"/>
      <c r="E20" s="15"/>
      <c r="F20" s="18">
        <f>-10000*31</f>
        <v>-310000</v>
      </c>
      <c r="G20" s="32">
        <f>+[3]Demarc!$E13</f>
        <v>5.8369999999999997</v>
      </c>
      <c r="H20" s="32">
        <f>+'[3]PEPL Tx, Ok'!$E13+0.228</f>
        <v>5.8649999999999993</v>
      </c>
      <c r="I20" s="17">
        <f>(+G20-H20)*F20</f>
        <v>8679.9999999998709</v>
      </c>
      <c r="J20" s="39"/>
      <c r="K20" s="41">
        <f>+I20</f>
        <v>8679.9999999998709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31"/>
      <c r="B22" s="15"/>
      <c r="C22" s="16"/>
      <c r="D22" s="32"/>
      <c r="E22" s="15"/>
      <c r="F22" s="18"/>
      <c r="G22" s="211"/>
      <c r="H22" s="32"/>
      <c r="I22" s="17"/>
      <c r="J22" s="39"/>
      <c r="K22" s="41"/>
    </row>
    <row r="23" spans="1:11" x14ac:dyDescent="0.2">
      <c r="A23" s="31"/>
      <c r="B23" s="15"/>
      <c r="C23" s="16"/>
      <c r="D23" s="32"/>
      <c r="E23" s="15"/>
      <c r="F23" s="65"/>
      <c r="G23" s="15"/>
      <c r="H23" s="32"/>
      <c r="I23" s="66"/>
      <c r="J23" s="26"/>
      <c r="K23" s="67"/>
    </row>
    <row r="24" spans="1:11" x14ac:dyDescent="0.2">
      <c r="A24" s="31"/>
      <c r="B24" s="15"/>
      <c r="C24" s="16"/>
      <c r="D24" s="32"/>
      <c r="E24" s="15"/>
      <c r="F24" s="18">
        <f>SUM(F19:F23)</f>
        <v>-590000</v>
      </c>
      <c r="G24" s="15"/>
      <c r="H24" s="32"/>
      <c r="I24" s="17">
        <f>SUM(I19:I23)</f>
        <v>8119.9999999999327</v>
      </c>
      <c r="J24" s="17">
        <f>SUM(J19:J23)</f>
        <v>0</v>
      </c>
      <c r="K24" s="17">
        <f>SUM(K19:K23)</f>
        <v>8119.9999999999327</v>
      </c>
    </row>
    <row r="25" spans="1:11" x14ac:dyDescent="0.2">
      <c r="A25" s="31"/>
      <c r="B25" s="15"/>
      <c r="C25" s="16"/>
      <c r="D25" s="32"/>
      <c r="E25" s="15"/>
      <c r="F25" s="18"/>
      <c r="G25" s="15"/>
      <c r="H25" s="32"/>
      <c r="I25" s="17"/>
      <c r="J25" s="39"/>
      <c r="K25" s="19"/>
    </row>
    <row r="26" spans="1:11" ht="13.5" thickBot="1" x14ac:dyDescent="0.25">
      <c r="A26" s="31"/>
      <c r="B26" s="15"/>
      <c r="C26" s="16"/>
      <c r="D26" s="32"/>
      <c r="E26" s="15"/>
      <c r="F26" s="117">
        <f>+F13+F24</f>
        <v>0</v>
      </c>
      <c r="G26" s="15"/>
      <c r="H26" s="32"/>
      <c r="I26" s="118">
        <f>+I24+I13</f>
        <v>-1179.999999999869</v>
      </c>
      <c r="J26" s="118">
        <f>+J24+J13</f>
        <v>0</v>
      </c>
      <c r="K26" s="118">
        <f>+K24+K13</f>
        <v>-1179.999999999869</v>
      </c>
    </row>
    <row r="27" spans="1:11" ht="13.5" thickTop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40"/>
      <c r="K27" s="40"/>
    </row>
    <row r="29" spans="1:11" x14ac:dyDescent="0.2">
      <c r="A29" s="29" t="s">
        <v>37</v>
      </c>
    </row>
  </sheetData>
  <mergeCells count="4">
    <mergeCell ref="A4:K4"/>
    <mergeCell ref="G15:H15"/>
    <mergeCell ref="G16:H16"/>
    <mergeCell ref="G17:H17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activeCell="H20" sqref="H20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4.42578125" bestFit="1" customWidth="1"/>
    <col min="11" max="11" width="1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85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207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">
      <c r="A9" s="31">
        <v>36892</v>
      </c>
      <c r="B9" s="15"/>
      <c r="C9" s="16" t="s">
        <v>85</v>
      </c>
      <c r="D9" s="32">
        <v>3.23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1019900</v>
      </c>
      <c r="J9" s="41">
        <f>+I9</f>
        <v>1019900</v>
      </c>
      <c r="K9" s="41"/>
    </row>
    <row r="10" spans="1:11" x14ac:dyDescent="0.2">
      <c r="A10" s="31">
        <v>36923</v>
      </c>
      <c r="B10" s="15"/>
      <c r="C10" s="16" t="s">
        <v>85</v>
      </c>
      <c r="D10" s="32">
        <v>3.23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472500.00000000006</v>
      </c>
      <c r="J10" s="41"/>
      <c r="K10" s="41">
        <f t="shared" ref="K10:K20" si="1">+I10</f>
        <v>472500.00000000006</v>
      </c>
    </row>
    <row r="11" spans="1:11" x14ac:dyDescent="0.2">
      <c r="A11" s="31">
        <v>36951</v>
      </c>
      <c r="B11" s="15"/>
      <c r="C11" s="16" t="s">
        <v>85</v>
      </c>
      <c r="D11" s="32">
        <v>3.23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403310</v>
      </c>
      <c r="J11" s="41"/>
      <c r="K11" s="41">
        <f t="shared" si="1"/>
        <v>403310</v>
      </c>
    </row>
    <row r="12" spans="1:11" x14ac:dyDescent="0.2">
      <c r="A12" s="31">
        <v>36982</v>
      </c>
      <c r="B12" s="15"/>
      <c r="C12" s="16" t="s">
        <v>85</v>
      </c>
      <c r="D12" s="32">
        <v>3.23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310500</v>
      </c>
      <c r="J12" s="41"/>
      <c r="K12" s="41">
        <f t="shared" si="1"/>
        <v>310500</v>
      </c>
    </row>
    <row r="13" spans="1:11" x14ac:dyDescent="0.2">
      <c r="A13" s="31">
        <v>37012</v>
      </c>
      <c r="B13" s="15"/>
      <c r="C13" s="16" t="s">
        <v>85</v>
      </c>
      <c r="D13" s="32">
        <v>3.23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299150</v>
      </c>
      <c r="J13" s="39"/>
      <c r="K13" s="41">
        <f t="shared" si="1"/>
        <v>299150</v>
      </c>
    </row>
    <row r="14" spans="1:11" x14ac:dyDescent="0.2">
      <c r="A14" s="31">
        <v>37043</v>
      </c>
      <c r="B14" s="15"/>
      <c r="C14" s="16" t="s">
        <v>85</v>
      </c>
      <c r="D14" s="32">
        <v>3.23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292499.99999999994</v>
      </c>
      <c r="J14" s="39"/>
      <c r="K14" s="41">
        <f t="shared" si="1"/>
        <v>292499.99999999994</v>
      </c>
    </row>
    <row r="15" spans="1:11" x14ac:dyDescent="0.2">
      <c r="A15" s="31">
        <v>37073</v>
      </c>
      <c r="B15" s="15"/>
      <c r="C15" s="16" t="s">
        <v>85</v>
      </c>
      <c r="D15" s="32">
        <v>3.23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331699.99999999988</v>
      </c>
      <c r="J15" s="39"/>
      <c r="K15" s="41">
        <f t="shared" si="1"/>
        <v>331699.99999999988</v>
      </c>
    </row>
    <row r="16" spans="1:11" x14ac:dyDescent="0.2">
      <c r="A16" s="31">
        <v>37104</v>
      </c>
      <c r="B16" s="15"/>
      <c r="C16" s="16" t="s">
        <v>85</v>
      </c>
      <c r="D16" s="32">
        <v>3.23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333250</v>
      </c>
      <c r="J16" s="39"/>
      <c r="K16" s="41">
        <f t="shared" si="1"/>
        <v>333250</v>
      </c>
    </row>
    <row r="17" spans="1:11" x14ac:dyDescent="0.2">
      <c r="A17" s="31">
        <v>37135</v>
      </c>
      <c r="B17" s="15"/>
      <c r="C17" s="16" t="s">
        <v>85</v>
      </c>
      <c r="D17" s="32">
        <v>3.23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317999.99999999994</v>
      </c>
      <c r="J17" s="39"/>
      <c r="K17" s="41">
        <f t="shared" si="1"/>
        <v>317999.99999999994</v>
      </c>
    </row>
    <row r="18" spans="1:11" x14ac:dyDescent="0.2">
      <c r="A18" s="31">
        <v>37165</v>
      </c>
      <c r="B18" s="15"/>
      <c r="C18" s="16" t="s">
        <v>85</v>
      </c>
      <c r="D18" s="32">
        <v>3.23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324725.00000000006</v>
      </c>
      <c r="J18" s="39"/>
      <c r="K18" s="41">
        <f t="shared" si="1"/>
        <v>324725.00000000006</v>
      </c>
    </row>
    <row r="19" spans="1:11" x14ac:dyDescent="0.2">
      <c r="A19" s="31">
        <v>37196</v>
      </c>
      <c r="B19" s="15"/>
      <c r="C19" s="16" t="s">
        <v>85</v>
      </c>
      <c r="D19" s="32">
        <v>3.23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321750</v>
      </c>
      <c r="J19" s="39"/>
      <c r="K19" s="41">
        <f t="shared" si="1"/>
        <v>321750</v>
      </c>
    </row>
    <row r="20" spans="1:11" x14ac:dyDescent="0.2">
      <c r="A20" s="31">
        <v>37226</v>
      </c>
      <c r="B20" s="15"/>
      <c r="C20" s="16" t="s">
        <v>85</v>
      </c>
      <c r="D20" s="32">
        <v>3.23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353400.00000000012</v>
      </c>
      <c r="J20" s="39"/>
      <c r="K20" s="41">
        <f t="shared" si="1"/>
        <v>353400.00000000012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4780685</v>
      </c>
      <c r="J22" s="35">
        <f>SUM(J9:J20)</f>
        <v>1019900</v>
      </c>
      <c r="K22" s="35">
        <f>SUM(K9:K20)</f>
        <v>3760785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36</v>
      </c>
      <c r="D26" s="32">
        <v>3.23</v>
      </c>
      <c r="E26" s="15"/>
      <c r="F26" s="18">
        <f>5000*31</f>
        <v>155000</v>
      </c>
      <c r="G26" s="32"/>
      <c r="H26" s="32">
        <v>9.81</v>
      </c>
      <c r="I26" s="17">
        <f>(+D26-H26)*F26</f>
        <v>-1019900</v>
      </c>
      <c r="J26" s="41">
        <f>+I26</f>
        <v>-1019900</v>
      </c>
      <c r="K26" s="41"/>
    </row>
    <row r="27" spans="1:11" x14ac:dyDescent="0.2">
      <c r="A27" s="31">
        <v>36923</v>
      </c>
      <c r="B27" s="15"/>
      <c r="C27" s="16" t="s">
        <v>36</v>
      </c>
      <c r="D27" s="32">
        <v>3.23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-472500.00000000006</v>
      </c>
      <c r="J27" s="41"/>
      <c r="K27" s="41">
        <f t="shared" ref="K27:K37" si="3">+I27</f>
        <v>-472500.00000000006</v>
      </c>
    </row>
    <row r="28" spans="1:11" x14ac:dyDescent="0.2">
      <c r="A28" s="31">
        <v>36951</v>
      </c>
      <c r="B28" s="15"/>
      <c r="C28" s="16" t="s">
        <v>36</v>
      </c>
      <c r="D28" s="32">
        <v>3.23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-403310</v>
      </c>
      <c r="J28" s="41"/>
      <c r="K28" s="41">
        <f t="shared" si="3"/>
        <v>-403310</v>
      </c>
    </row>
    <row r="29" spans="1:11" x14ac:dyDescent="0.2">
      <c r="A29" s="31">
        <v>36982</v>
      </c>
      <c r="B29" s="15"/>
      <c r="C29" s="16" t="s">
        <v>36</v>
      </c>
      <c r="D29" s="32">
        <v>3.23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-310500</v>
      </c>
      <c r="J29" s="41"/>
      <c r="K29" s="41">
        <f t="shared" si="3"/>
        <v>-310500</v>
      </c>
    </row>
    <row r="30" spans="1:11" x14ac:dyDescent="0.2">
      <c r="A30" s="31">
        <v>37012</v>
      </c>
      <c r="B30" s="15"/>
      <c r="C30" s="16" t="s">
        <v>36</v>
      </c>
      <c r="D30" s="32">
        <v>3.23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-299150</v>
      </c>
      <c r="J30" s="39"/>
      <c r="K30" s="41">
        <f t="shared" si="3"/>
        <v>-299150</v>
      </c>
    </row>
    <row r="31" spans="1:11" x14ac:dyDescent="0.2">
      <c r="A31" s="31">
        <v>37043</v>
      </c>
      <c r="B31" s="15"/>
      <c r="C31" s="16" t="s">
        <v>36</v>
      </c>
      <c r="D31" s="32">
        <v>3.23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-292499.99999999994</v>
      </c>
      <c r="J31" s="39"/>
      <c r="K31" s="41">
        <f t="shared" si="3"/>
        <v>-292499.99999999994</v>
      </c>
    </row>
    <row r="32" spans="1:11" x14ac:dyDescent="0.2">
      <c r="A32" s="31">
        <v>37073</v>
      </c>
      <c r="B32" s="15"/>
      <c r="C32" s="16" t="s">
        <v>36</v>
      </c>
      <c r="D32" s="32">
        <v>3.23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-331699.99999999988</v>
      </c>
      <c r="J32" s="39"/>
      <c r="K32" s="41">
        <f t="shared" si="3"/>
        <v>-331699.99999999988</v>
      </c>
    </row>
    <row r="33" spans="1:11" x14ac:dyDescent="0.2">
      <c r="A33" s="31">
        <v>37104</v>
      </c>
      <c r="B33" s="15"/>
      <c r="C33" s="16" t="s">
        <v>36</v>
      </c>
      <c r="D33" s="32">
        <v>3.23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-333250</v>
      </c>
      <c r="J33" s="39"/>
      <c r="K33" s="41">
        <f t="shared" si="3"/>
        <v>-333250</v>
      </c>
    </row>
    <row r="34" spans="1:11" x14ac:dyDescent="0.2">
      <c r="A34" s="31">
        <v>37135</v>
      </c>
      <c r="B34" s="15"/>
      <c r="C34" s="16" t="s">
        <v>36</v>
      </c>
      <c r="D34" s="32">
        <v>3.23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-317999.99999999994</v>
      </c>
      <c r="J34" s="39"/>
      <c r="K34" s="41">
        <f t="shared" si="3"/>
        <v>-317999.99999999994</v>
      </c>
    </row>
    <row r="35" spans="1:11" x14ac:dyDescent="0.2">
      <c r="A35" s="31">
        <v>37165</v>
      </c>
      <c r="B35" s="15"/>
      <c r="C35" s="16" t="s">
        <v>36</v>
      </c>
      <c r="D35" s="32">
        <v>3.23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-324725.00000000006</v>
      </c>
      <c r="J35" s="39"/>
      <c r="K35" s="41">
        <f t="shared" si="3"/>
        <v>-324725.00000000006</v>
      </c>
    </row>
    <row r="36" spans="1:11" x14ac:dyDescent="0.2">
      <c r="A36" s="31">
        <v>37196</v>
      </c>
      <c r="B36" s="15"/>
      <c r="C36" s="16" t="s">
        <v>36</v>
      </c>
      <c r="D36" s="32">
        <v>3.23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-321750</v>
      </c>
      <c r="J36" s="39"/>
      <c r="K36" s="41">
        <f t="shared" si="3"/>
        <v>-321750</v>
      </c>
    </row>
    <row r="37" spans="1:11" x14ac:dyDescent="0.2">
      <c r="A37" s="31">
        <v>37226</v>
      </c>
      <c r="B37" s="15"/>
      <c r="C37" s="16" t="s">
        <v>36</v>
      </c>
      <c r="D37" s="32">
        <v>3.23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-353400.00000000012</v>
      </c>
      <c r="J37" s="39"/>
      <c r="K37" s="41">
        <f t="shared" si="3"/>
        <v>-353400.00000000012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-4780685</v>
      </c>
      <c r="J39" s="33">
        <f>SUM(J26:J38)</f>
        <v>-1019900</v>
      </c>
      <c r="K39" s="33">
        <f>SUM(K26:K38)</f>
        <v>-3760785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opLeftCell="C5" workbookViewId="0">
      <selection activeCell="C5"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204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31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205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216</v>
      </c>
      <c r="E8" s="203"/>
      <c r="F8" s="203"/>
      <c r="G8" s="204"/>
      <c r="H8" s="9" t="s">
        <v>206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-0.27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37257</v>
      </c>
      <c r="B10" s="15"/>
      <c r="C10" s="16" t="s">
        <v>31</v>
      </c>
      <c r="D10" s="32">
        <f>+[3]NYMEX!$C19+$D$9</f>
        <v>5.2200000000000006</v>
      </c>
      <c r="E10" s="15"/>
      <c r="F10" s="18">
        <f>27500*31</f>
        <v>852500</v>
      </c>
      <c r="G10" s="32"/>
      <c r="H10" s="32">
        <f>+'[3]ELpaso SJ &amp; Prm'!$F20</f>
        <v>5.2549999999999999</v>
      </c>
      <c r="I10" s="17">
        <f>(+D10-H10)*F10</f>
        <v>-29837.499999999363</v>
      </c>
      <c r="J10" s="41"/>
      <c r="K10" s="41">
        <f>+I10</f>
        <v>-29837.499999999363</v>
      </c>
    </row>
    <row r="11" spans="1:12" x14ac:dyDescent="0.2">
      <c r="A11" s="31">
        <v>37288</v>
      </c>
      <c r="B11" s="15"/>
      <c r="C11" s="16" t="s">
        <v>31</v>
      </c>
      <c r="D11" s="32">
        <f>+[3]NYMEX!$C20+$D$9</f>
        <v>5.0299999999999994</v>
      </c>
      <c r="E11" s="15"/>
      <c r="F11" s="18">
        <f>27500*28</f>
        <v>770000</v>
      </c>
      <c r="G11" s="32"/>
      <c r="H11" s="32">
        <f>+'[3]ELpaso SJ &amp; Prm'!$F21</f>
        <v>5.0649999999999995</v>
      </c>
      <c r="I11" s="17">
        <f t="shared" ref="I11:I21" si="0">(+D11-H11)*F11</f>
        <v>-26950.000000000109</v>
      </c>
      <c r="J11" s="41"/>
      <c r="K11" s="41">
        <f t="shared" ref="K11:K21" si="1">+I11</f>
        <v>-26950.000000000109</v>
      </c>
    </row>
    <row r="12" spans="1:12" x14ac:dyDescent="0.2">
      <c r="A12" s="31">
        <v>37316</v>
      </c>
      <c r="B12" s="15"/>
      <c r="C12" s="16" t="s">
        <v>31</v>
      </c>
      <c r="D12" s="32">
        <f>+[3]NYMEX!$C21+$D$9</f>
        <v>4.7300000000000004</v>
      </c>
      <c r="E12" s="15"/>
      <c r="F12" s="18">
        <f t="shared" ref="F12:F21" si="2">27500*31</f>
        <v>852500</v>
      </c>
      <c r="G12" s="15"/>
      <c r="H12" s="32">
        <f>+'[3]ELpaso SJ &amp; Prm'!$F22</f>
        <v>4.7649999999999997</v>
      </c>
      <c r="I12" s="17">
        <f t="shared" si="0"/>
        <v>-29837.499999999363</v>
      </c>
      <c r="J12" s="20"/>
      <c r="K12" s="41">
        <f t="shared" si="1"/>
        <v>-29837.499999999363</v>
      </c>
      <c r="L12" s="20"/>
    </row>
    <row r="13" spans="1:12" x14ac:dyDescent="0.2">
      <c r="A13" s="31">
        <v>37347</v>
      </c>
      <c r="B13" s="15"/>
      <c r="C13" s="16" t="s">
        <v>31</v>
      </c>
      <c r="D13" s="32">
        <f>+[3]NYMEX!$C22+$D$9</f>
        <v>4.3000000000000007</v>
      </c>
      <c r="E13" s="15"/>
      <c r="F13" s="18">
        <f>27500*30</f>
        <v>825000</v>
      </c>
      <c r="G13" s="15"/>
      <c r="H13" s="32">
        <f>+'[3]ELpaso SJ &amp; Prm'!$F23</f>
        <v>4.37</v>
      </c>
      <c r="I13" s="17">
        <f t="shared" si="0"/>
        <v>-57749.999999999505</v>
      </c>
      <c r="J13" s="15"/>
      <c r="K13" s="41">
        <f t="shared" si="1"/>
        <v>-57749.999999999505</v>
      </c>
    </row>
    <row r="14" spans="1:12" x14ac:dyDescent="0.2">
      <c r="A14" s="31">
        <v>37377</v>
      </c>
      <c r="B14" s="15"/>
      <c r="C14" s="16" t="s">
        <v>31</v>
      </c>
      <c r="D14" s="32">
        <f>+[3]NYMEX!$C23+$D$9</f>
        <v>4.17</v>
      </c>
      <c r="E14" s="15"/>
      <c r="F14" s="18">
        <f t="shared" si="2"/>
        <v>852500</v>
      </c>
      <c r="G14" s="15"/>
      <c r="H14" s="32">
        <f>+'[3]ELpaso SJ &amp; Prm'!$F24</f>
        <v>4.24</v>
      </c>
      <c r="I14" s="17">
        <f t="shared" si="0"/>
        <v>-59675.00000000024</v>
      </c>
      <c r="J14" s="15"/>
      <c r="K14" s="41">
        <f t="shared" si="1"/>
        <v>-59675.00000000024</v>
      </c>
    </row>
    <row r="15" spans="1:12" x14ac:dyDescent="0.2">
      <c r="A15" s="31">
        <v>37408</v>
      </c>
      <c r="B15" s="15"/>
      <c r="C15" s="16" t="s">
        <v>31</v>
      </c>
      <c r="D15" s="32">
        <f>+[3]NYMEX!$C24+$D$9</f>
        <v>4.1649999999999991</v>
      </c>
      <c r="E15" s="15"/>
      <c r="F15" s="18">
        <f>27500*30</f>
        <v>825000</v>
      </c>
      <c r="G15" s="15"/>
      <c r="H15" s="32">
        <f>+'[3]ELpaso SJ &amp; Prm'!$F25</f>
        <v>4.2349999999999994</v>
      </c>
      <c r="I15" s="17">
        <f t="shared" si="0"/>
        <v>-57750.000000000233</v>
      </c>
      <c r="J15" s="15"/>
      <c r="K15" s="41">
        <f t="shared" si="1"/>
        <v>-57750.000000000233</v>
      </c>
    </row>
    <row r="16" spans="1:12" x14ac:dyDescent="0.2">
      <c r="A16" s="31">
        <v>37438</v>
      </c>
      <c r="B16" s="15"/>
      <c r="C16" s="16" t="s">
        <v>31</v>
      </c>
      <c r="D16" s="32">
        <f>+[3]NYMEX!$C25+$D$9</f>
        <v>4.18</v>
      </c>
      <c r="E16" s="15"/>
      <c r="F16" s="18">
        <f t="shared" si="2"/>
        <v>852500</v>
      </c>
      <c r="G16" s="15"/>
      <c r="H16" s="32">
        <f>+'[3]ELpaso SJ &amp; Prm'!$F26</f>
        <v>4.25</v>
      </c>
      <c r="I16" s="17">
        <f t="shared" si="0"/>
        <v>-59675.00000000024</v>
      </c>
      <c r="J16" s="15"/>
      <c r="K16" s="41">
        <f t="shared" si="1"/>
        <v>-59675.00000000024</v>
      </c>
    </row>
    <row r="17" spans="1:11" x14ac:dyDescent="0.2">
      <c r="A17" s="31">
        <v>37469</v>
      </c>
      <c r="B17" s="15"/>
      <c r="C17" s="16" t="s">
        <v>31</v>
      </c>
      <c r="D17" s="32">
        <f>+[3]NYMEX!$C26+$D$9</f>
        <v>4.18</v>
      </c>
      <c r="E17" s="15"/>
      <c r="F17" s="18">
        <f t="shared" si="2"/>
        <v>852500</v>
      </c>
      <c r="G17" s="15"/>
      <c r="H17" s="32">
        <f>+'[3]ELpaso SJ &amp; Prm'!$F27</f>
        <v>4.25</v>
      </c>
      <c r="I17" s="17">
        <f t="shared" si="0"/>
        <v>-59675.00000000024</v>
      </c>
      <c r="J17" s="15"/>
      <c r="K17" s="41">
        <f t="shared" si="1"/>
        <v>-59675.00000000024</v>
      </c>
    </row>
    <row r="18" spans="1:11" x14ac:dyDescent="0.2">
      <c r="A18" s="31">
        <v>37500</v>
      </c>
      <c r="B18" s="15"/>
      <c r="C18" s="16" t="s">
        <v>31</v>
      </c>
      <c r="D18" s="32">
        <f>+[3]NYMEX!$C27+$D$9</f>
        <v>4.18</v>
      </c>
      <c r="E18" s="15"/>
      <c r="F18" s="18">
        <f>27500*30</f>
        <v>825000</v>
      </c>
      <c r="G18" s="15"/>
      <c r="H18" s="32">
        <f>+'[3]ELpaso SJ &amp; Prm'!$F28</f>
        <v>4.25</v>
      </c>
      <c r="I18" s="17">
        <f t="shared" si="0"/>
        <v>-57750.000000000233</v>
      </c>
      <c r="J18" s="15"/>
      <c r="K18" s="41">
        <f t="shared" si="1"/>
        <v>-57750.000000000233</v>
      </c>
    </row>
    <row r="19" spans="1:11" x14ac:dyDescent="0.2">
      <c r="A19" s="31">
        <v>37530</v>
      </c>
      <c r="B19" s="15"/>
      <c r="C19" s="16" t="s">
        <v>31</v>
      </c>
      <c r="D19" s="32">
        <f>+[3]NYMEX!$C28+$D$9</f>
        <v>4.1950000000000003</v>
      </c>
      <c r="E19" s="15"/>
      <c r="F19" s="18">
        <f t="shared" si="2"/>
        <v>852500</v>
      </c>
      <c r="G19" s="15"/>
      <c r="H19" s="32">
        <f>+'[3]ELpaso SJ &amp; Prm'!$F29</f>
        <v>4.2649999999999997</v>
      </c>
      <c r="I19" s="17">
        <f t="shared" si="0"/>
        <v>-59674.999999999483</v>
      </c>
      <c r="J19" s="15"/>
      <c r="K19" s="41">
        <f t="shared" si="1"/>
        <v>-59674.999999999483</v>
      </c>
    </row>
    <row r="20" spans="1:11" x14ac:dyDescent="0.2">
      <c r="A20" s="31">
        <v>37561</v>
      </c>
      <c r="B20" s="15"/>
      <c r="C20" s="16" t="s">
        <v>31</v>
      </c>
      <c r="D20" s="32">
        <f>+[3]NYMEX!$C29+$D$9</f>
        <v>4.3000000000000007</v>
      </c>
      <c r="E20" s="15"/>
      <c r="F20" s="18">
        <f>27500*30</f>
        <v>825000</v>
      </c>
      <c r="G20" s="15"/>
      <c r="H20" s="32">
        <f>+'[3]ELpaso SJ &amp; Prm'!$F30</f>
        <v>4.3950000000000005</v>
      </c>
      <c r="I20" s="17">
        <f t="shared" si="0"/>
        <v>-78374.999999999796</v>
      </c>
      <c r="J20" s="15"/>
      <c r="K20" s="41">
        <f t="shared" si="1"/>
        <v>-78374.999999999796</v>
      </c>
    </row>
    <row r="21" spans="1:11" x14ac:dyDescent="0.2">
      <c r="A21" s="31">
        <v>37591</v>
      </c>
      <c r="B21" s="15"/>
      <c r="C21" s="16" t="s">
        <v>31</v>
      </c>
      <c r="D21" s="32">
        <f>+[3]NYMEX!$C30+$D$9</f>
        <v>4.4049999999999994</v>
      </c>
      <c r="E21" s="15"/>
      <c r="F21" s="65">
        <f t="shared" si="2"/>
        <v>852500</v>
      </c>
      <c r="G21" s="15"/>
      <c r="H21" s="32">
        <f>+'[3]ELpaso SJ &amp; Prm'!$F31</f>
        <v>4.5</v>
      </c>
      <c r="I21" s="66">
        <f t="shared" si="0"/>
        <v>-80987.500000000538</v>
      </c>
      <c r="J21" s="66"/>
      <c r="K21" s="122">
        <f t="shared" si="1"/>
        <v>-80987.500000000538</v>
      </c>
    </row>
    <row r="22" spans="1:11" x14ac:dyDescent="0.2">
      <c r="A22" s="31"/>
      <c r="B22" s="15"/>
      <c r="C22" s="16"/>
      <c r="D22" s="32"/>
      <c r="E22" s="15"/>
      <c r="F22" s="18">
        <f>SUM(F10:F21)</f>
        <v>10037500</v>
      </c>
      <c r="G22" s="15"/>
      <c r="H22" s="32"/>
      <c r="I22" s="17">
        <f>SUM(I10:I21)</f>
        <v>-657937.49999999942</v>
      </c>
      <c r="J22" s="17">
        <f>SUM(J10:J21)</f>
        <v>0</v>
      </c>
      <c r="K22" s="17">
        <f>SUM(K10:K21)</f>
        <v>-657937.49999999942</v>
      </c>
    </row>
    <row r="23" spans="1:11" x14ac:dyDescent="0.2">
      <c r="A23" s="31"/>
      <c r="B23" s="15"/>
      <c r="C23" s="16"/>
      <c r="D23" s="32"/>
      <c r="E23" s="15"/>
      <c r="F23" s="18"/>
      <c r="G23" s="20"/>
      <c r="H23" s="259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10037500</v>
      </c>
      <c r="G25" s="15"/>
      <c r="H25" s="32"/>
      <c r="I25" s="118">
        <f>+I22</f>
        <v>-657937.49999999942</v>
      </c>
      <c r="J25" s="118">
        <f>+J22</f>
        <v>0</v>
      </c>
      <c r="K25" s="118">
        <f>+K22</f>
        <v>-657937.49999999942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  <row r="31" spans="1:11" x14ac:dyDescent="0.2">
      <c r="F31">
        <f>+'[3]NGI Socal'!$E$10-0.05</f>
        <v>7.6700000000000008</v>
      </c>
      <c r="G31" s="260">
        <f>+$F$33*F10</f>
        <v>2058787.5000000007</v>
      </c>
    </row>
    <row r="32" spans="1:11" x14ac:dyDescent="0.2">
      <c r="F32">
        <f>-'[3]ELpaso SJ &amp; Prm'!$F$20</f>
        <v>-5.2549999999999999</v>
      </c>
      <c r="G32" s="260">
        <f t="shared" ref="G32:G42" si="3">+$F$33*F11</f>
        <v>1859550.0000000007</v>
      </c>
    </row>
    <row r="33" spans="6:7" x14ac:dyDescent="0.2">
      <c r="F33">
        <f>+F31+F32</f>
        <v>2.4150000000000009</v>
      </c>
      <c r="G33" s="260">
        <f t="shared" si="3"/>
        <v>2058787.5000000007</v>
      </c>
    </row>
    <row r="34" spans="6:7" x14ac:dyDescent="0.2">
      <c r="G34" s="260">
        <f t="shared" si="3"/>
        <v>1992375.0000000007</v>
      </c>
    </row>
    <row r="35" spans="6:7" x14ac:dyDescent="0.2">
      <c r="G35" s="260">
        <f t="shared" si="3"/>
        <v>2058787.5000000007</v>
      </c>
    </row>
    <row r="36" spans="6:7" x14ac:dyDescent="0.2">
      <c r="G36" s="260">
        <f t="shared" si="3"/>
        <v>1992375.0000000007</v>
      </c>
    </row>
    <row r="37" spans="6:7" x14ac:dyDescent="0.2">
      <c r="G37" s="260">
        <f t="shared" si="3"/>
        <v>2058787.5000000007</v>
      </c>
    </row>
    <row r="38" spans="6:7" x14ac:dyDescent="0.2">
      <c r="G38" s="260">
        <f t="shared" si="3"/>
        <v>2058787.5000000007</v>
      </c>
    </row>
    <row r="39" spans="6:7" x14ac:dyDescent="0.2">
      <c r="G39" s="260">
        <f t="shared" si="3"/>
        <v>1992375.0000000007</v>
      </c>
    </row>
    <row r="40" spans="6:7" x14ac:dyDescent="0.2">
      <c r="G40" s="260">
        <f t="shared" si="3"/>
        <v>2058787.5000000007</v>
      </c>
    </row>
    <row r="41" spans="6:7" x14ac:dyDescent="0.2">
      <c r="G41" s="260">
        <f t="shared" si="3"/>
        <v>1992375.0000000007</v>
      </c>
    </row>
    <row r="42" spans="6:7" x14ac:dyDescent="0.2">
      <c r="G42" s="260">
        <f t="shared" si="3"/>
        <v>2058787.5000000007</v>
      </c>
    </row>
    <row r="43" spans="6:7" x14ac:dyDescent="0.2">
      <c r="G43" s="260">
        <f>SUM(G31:G42)</f>
        <v>24240562.500000004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opLeftCell="B1" workbookViewId="0">
      <selection activeCell="B1"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200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31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202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1.05</v>
      </c>
      <c r="E9" s="12"/>
      <c r="F9" s="12"/>
      <c r="G9" s="51"/>
      <c r="H9" s="13" t="s">
        <v>203</v>
      </c>
      <c r="I9" s="58"/>
      <c r="J9" s="58"/>
      <c r="K9" s="58"/>
      <c r="L9" s="20"/>
    </row>
    <row r="10" spans="1:12" x14ac:dyDescent="0.2">
      <c r="A10" s="31">
        <v>37257</v>
      </c>
      <c r="B10" s="15"/>
      <c r="C10" s="16" t="s">
        <v>31</v>
      </c>
      <c r="D10" s="32">
        <f>+[3]NYMEX!$C19+$D$9</f>
        <v>6.54</v>
      </c>
      <c r="E10" s="15"/>
      <c r="F10" s="18">
        <f>27500*31</f>
        <v>852500</v>
      </c>
      <c r="G10" s="32"/>
      <c r="H10" s="32">
        <f>+'[3]NGI Socal'!$E10</f>
        <v>7.7200000000000006</v>
      </c>
      <c r="I10" s="17">
        <f>(-D10+H10)*F10</f>
        <v>1005950.0000000005</v>
      </c>
      <c r="J10" s="41"/>
      <c r="K10" s="41">
        <f>+I10</f>
        <v>1005950.0000000005</v>
      </c>
    </row>
    <row r="11" spans="1:12" x14ac:dyDescent="0.2">
      <c r="A11" s="31">
        <v>37288</v>
      </c>
      <c r="B11" s="15"/>
      <c r="C11" s="16" t="s">
        <v>31</v>
      </c>
      <c r="D11" s="32">
        <f>+[3]NYMEX!$C20+$D$9</f>
        <v>6.35</v>
      </c>
      <c r="E11" s="15"/>
      <c r="F11" s="18">
        <f>27500*28</f>
        <v>770000</v>
      </c>
      <c r="G11" s="32"/>
      <c r="H11" s="32">
        <f>+'[3]NGI Socal'!$E11</f>
        <v>7.43</v>
      </c>
      <c r="I11" s="17">
        <f>+F11*(+H11-D11)</f>
        <v>831600</v>
      </c>
      <c r="J11" s="41"/>
      <c r="K11" s="41">
        <f t="shared" ref="K11:K21" si="0">+I11</f>
        <v>831600</v>
      </c>
    </row>
    <row r="12" spans="1:12" x14ac:dyDescent="0.2">
      <c r="A12" s="31">
        <v>37316</v>
      </c>
      <c r="B12" s="15"/>
      <c r="C12" s="16" t="s">
        <v>31</v>
      </c>
      <c r="D12" s="32">
        <f>+[3]NYMEX!$C21+$D$9</f>
        <v>6.05</v>
      </c>
      <c r="E12" s="15"/>
      <c r="F12" s="18">
        <f>27500*31</f>
        <v>852500</v>
      </c>
      <c r="G12" s="15"/>
      <c r="H12" s="32">
        <f>+'[3]NGI Socal'!$E12</f>
        <v>6.6800000000000006</v>
      </c>
      <c r="I12" s="17">
        <f t="shared" ref="I12:I21" si="1">+F12*(+H12-D12)</f>
        <v>537075.0000000007</v>
      </c>
      <c r="J12" s="20"/>
      <c r="K12" s="41">
        <f t="shared" si="0"/>
        <v>537075.0000000007</v>
      </c>
      <c r="L12" s="20"/>
    </row>
    <row r="13" spans="1:12" x14ac:dyDescent="0.2">
      <c r="A13" s="31">
        <v>37347</v>
      </c>
      <c r="B13" s="15"/>
      <c r="C13" s="16" t="s">
        <v>31</v>
      </c>
      <c r="D13" s="32">
        <f>+[3]NYMEX!$C22+$D$9</f>
        <v>5.62</v>
      </c>
      <c r="E13" s="15"/>
      <c r="F13" s="18">
        <f>27500*30</f>
        <v>825000</v>
      </c>
      <c r="G13" s="15"/>
      <c r="H13" s="32">
        <f>+'[3]NGI Socal'!$E13</f>
        <v>6.1</v>
      </c>
      <c r="I13" s="17">
        <f t="shared" si="1"/>
        <v>395999.99999999959</v>
      </c>
      <c r="J13" s="15"/>
      <c r="K13" s="41">
        <f t="shared" si="0"/>
        <v>395999.99999999959</v>
      </c>
    </row>
    <row r="14" spans="1:12" x14ac:dyDescent="0.2">
      <c r="A14" s="31">
        <v>37377</v>
      </c>
      <c r="B14" s="15"/>
      <c r="C14" s="16" t="s">
        <v>31</v>
      </c>
      <c r="D14" s="32">
        <f>+[3]NYMEX!$C23+$D$9</f>
        <v>5.49</v>
      </c>
      <c r="E14" s="15"/>
      <c r="F14" s="18">
        <f>27500*31</f>
        <v>852500</v>
      </c>
      <c r="G14" s="15"/>
      <c r="H14" s="32">
        <f>+'[3]NGI Socal'!$E14</f>
        <v>5.97</v>
      </c>
      <c r="I14" s="17">
        <f t="shared" si="1"/>
        <v>409199.99999999959</v>
      </c>
      <c r="J14" s="15"/>
      <c r="K14" s="41">
        <f t="shared" si="0"/>
        <v>409199.99999999959</v>
      </c>
    </row>
    <row r="15" spans="1:12" x14ac:dyDescent="0.2">
      <c r="A15" s="31">
        <v>37408</v>
      </c>
      <c r="B15" s="15"/>
      <c r="C15" s="16" t="s">
        <v>31</v>
      </c>
      <c r="D15" s="32">
        <f>+[3]NYMEX!$C24+$D$9</f>
        <v>5.4849999999999994</v>
      </c>
      <c r="E15" s="15"/>
      <c r="F15" s="18">
        <f>27500*30</f>
        <v>825000</v>
      </c>
      <c r="G15" s="15"/>
      <c r="H15" s="32">
        <f>+'[3]NGI Socal'!$E15</f>
        <v>5.964999999999999</v>
      </c>
      <c r="I15" s="17">
        <f t="shared" si="1"/>
        <v>395999.99999999959</v>
      </c>
      <c r="J15" s="15"/>
      <c r="K15" s="41">
        <f t="shared" si="0"/>
        <v>395999.99999999959</v>
      </c>
    </row>
    <row r="16" spans="1:12" x14ac:dyDescent="0.2">
      <c r="A16" s="31">
        <v>37438</v>
      </c>
      <c r="B16" s="15"/>
      <c r="C16" s="16" t="s">
        <v>31</v>
      </c>
      <c r="D16" s="32">
        <f>+[3]NYMEX!$C25+$D$9</f>
        <v>5.5</v>
      </c>
      <c r="E16" s="15"/>
      <c r="F16" s="18">
        <f>27500*31</f>
        <v>852500</v>
      </c>
      <c r="G16" s="15"/>
      <c r="H16" s="32">
        <f>+'[3]NGI Socal'!$E16</f>
        <v>6.7249999999999996</v>
      </c>
      <c r="I16" s="17">
        <f t="shared" si="1"/>
        <v>1044312.4999999997</v>
      </c>
      <c r="J16" s="15"/>
      <c r="K16" s="41">
        <f t="shared" si="0"/>
        <v>1044312.4999999997</v>
      </c>
    </row>
    <row r="17" spans="1:11" x14ac:dyDescent="0.2">
      <c r="A17" s="31">
        <v>37469</v>
      </c>
      <c r="B17" s="15"/>
      <c r="C17" s="16" t="s">
        <v>31</v>
      </c>
      <c r="D17" s="32">
        <f>+[3]NYMEX!$C26+$D$9</f>
        <v>5.5</v>
      </c>
      <c r="E17" s="15"/>
      <c r="F17" s="18">
        <f>27500*31</f>
        <v>852500</v>
      </c>
      <c r="G17" s="15"/>
      <c r="H17" s="32">
        <f>+'[3]NGI Socal'!$E17</f>
        <v>6.7249999999999996</v>
      </c>
      <c r="I17" s="17">
        <f t="shared" si="1"/>
        <v>1044312.4999999997</v>
      </c>
      <c r="J17" s="15"/>
      <c r="K17" s="41">
        <f t="shared" si="0"/>
        <v>1044312.4999999997</v>
      </c>
    </row>
    <row r="18" spans="1:11" x14ac:dyDescent="0.2">
      <c r="A18" s="31">
        <v>37500</v>
      </c>
      <c r="B18" s="15"/>
      <c r="C18" s="16" t="s">
        <v>31</v>
      </c>
      <c r="D18" s="32">
        <f>+[3]NYMEX!$C27+$D$9</f>
        <v>5.5</v>
      </c>
      <c r="E18" s="15"/>
      <c r="F18" s="18">
        <f>27500*30</f>
        <v>825000</v>
      </c>
      <c r="G18" s="15"/>
      <c r="H18" s="32">
        <f>+'[3]NGI Socal'!$E18</f>
        <v>6.7249999999999996</v>
      </c>
      <c r="I18" s="17">
        <f t="shared" si="1"/>
        <v>1010624.9999999997</v>
      </c>
      <c r="J18" s="15"/>
      <c r="K18" s="41">
        <f t="shared" si="0"/>
        <v>1010624.9999999997</v>
      </c>
    </row>
    <row r="19" spans="1:11" x14ac:dyDescent="0.2">
      <c r="A19" s="31">
        <v>37530</v>
      </c>
      <c r="B19" s="15"/>
      <c r="C19" s="16" t="s">
        <v>31</v>
      </c>
      <c r="D19" s="32">
        <f>+[3]NYMEX!$C28+$D$9</f>
        <v>5.5149999999999997</v>
      </c>
      <c r="E19" s="15"/>
      <c r="F19" s="18">
        <f>27500*31</f>
        <v>852500</v>
      </c>
      <c r="G19" s="15"/>
      <c r="H19" s="32">
        <f>+'[3]NGI Socal'!$E19</f>
        <v>6.1099999999999994</v>
      </c>
      <c r="I19" s="17">
        <f t="shared" si="1"/>
        <v>507237.49999999977</v>
      </c>
      <c r="J19" s="15"/>
      <c r="K19" s="41">
        <f t="shared" si="0"/>
        <v>507237.49999999977</v>
      </c>
    </row>
    <row r="20" spans="1:11" x14ac:dyDescent="0.2">
      <c r="A20" s="31">
        <v>37561</v>
      </c>
      <c r="B20" s="15"/>
      <c r="C20" s="16" t="s">
        <v>31</v>
      </c>
      <c r="D20" s="32">
        <f>+[3]NYMEX!$C29+$D$9</f>
        <v>5.62</v>
      </c>
      <c r="E20" s="15"/>
      <c r="F20" s="18">
        <f>27500*30</f>
        <v>825000</v>
      </c>
      <c r="G20" s="15"/>
      <c r="H20" s="32">
        <f>+'[3]NGI Socal'!$E20</f>
        <v>5.93</v>
      </c>
      <c r="I20" s="17">
        <f t="shared" si="1"/>
        <v>255749.99999999968</v>
      </c>
      <c r="J20" s="15"/>
      <c r="K20" s="41">
        <f t="shared" si="0"/>
        <v>255749.99999999968</v>
      </c>
    </row>
    <row r="21" spans="1:11" x14ac:dyDescent="0.2">
      <c r="A21" s="31">
        <v>37591</v>
      </c>
      <c r="B21" s="15"/>
      <c r="C21" s="16" t="s">
        <v>31</v>
      </c>
      <c r="D21" s="32">
        <f>+[3]NYMEX!$C30+$D$9</f>
        <v>5.7249999999999996</v>
      </c>
      <c r="E21" s="15"/>
      <c r="F21" s="65">
        <f>27500*31</f>
        <v>852500</v>
      </c>
      <c r="G21" s="15"/>
      <c r="H21" s="32">
        <f>+'[3]NGI Socal'!$E21</f>
        <v>6.0349999999999993</v>
      </c>
      <c r="I21" s="66">
        <f t="shared" si="1"/>
        <v>264274.99999999965</v>
      </c>
      <c r="J21" s="66"/>
      <c r="K21" s="122">
        <f t="shared" si="0"/>
        <v>264274.99999999965</v>
      </c>
    </row>
    <row r="22" spans="1:11" x14ac:dyDescent="0.2">
      <c r="A22" s="31"/>
      <c r="B22" s="15"/>
      <c r="C22" s="16"/>
      <c r="D22" s="32"/>
      <c r="E22" s="15"/>
      <c r="F22" s="18">
        <f>SUM(F10:F21)</f>
        <v>10037500</v>
      </c>
      <c r="G22" s="15"/>
      <c r="H22" s="32"/>
      <c r="I22" s="17">
        <f>SUM(I10:I21)</f>
        <v>7702337.4999999991</v>
      </c>
      <c r="J22" s="17">
        <f>SUM(J10:J21)</f>
        <v>0</v>
      </c>
      <c r="K22" s="17">
        <f>SUM(K10:K21)</f>
        <v>7702337.4999999991</v>
      </c>
    </row>
    <row r="23" spans="1:11" x14ac:dyDescent="0.2">
      <c r="A23" s="31"/>
      <c r="B23" s="15"/>
      <c r="C23" s="16"/>
      <c r="D23" s="32"/>
      <c r="E23" s="15"/>
      <c r="F23" s="18"/>
      <c r="G23" s="2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10037500</v>
      </c>
      <c r="G25" s="15"/>
      <c r="H25" s="32"/>
      <c r="I25" s="118">
        <f>+I22</f>
        <v>7702337.4999999991</v>
      </c>
      <c r="J25" s="118">
        <f>+J22</f>
        <v>0</v>
      </c>
      <c r="K25" s="118">
        <f>+K22</f>
        <v>7702337.4999999991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  <row r="30" spans="1:11" x14ac:dyDescent="0.2">
      <c r="D30" t="s">
        <v>180</v>
      </c>
      <c r="H30" t="s">
        <v>25</v>
      </c>
    </row>
    <row r="31" spans="1:11" x14ac:dyDescent="0.2">
      <c r="D31" t="s">
        <v>138</v>
      </c>
      <c r="H31" t="s">
        <v>141</v>
      </c>
    </row>
    <row r="32" spans="1:11" x14ac:dyDescent="0.2">
      <c r="D32" t="s">
        <v>220</v>
      </c>
      <c r="H32" t="s">
        <v>221</v>
      </c>
    </row>
    <row r="33" spans="1:9" x14ac:dyDescent="0.2">
      <c r="D33">
        <v>-0.05</v>
      </c>
    </row>
    <row r="35" spans="1:9" x14ac:dyDescent="0.2">
      <c r="A35" s="31">
        <v>37257</v>
      </c>
      <c r="D35" s="210">
        <f>+'[3]NGI Socal'!$E10+$D$33</f>
        <v>7.6700000000000008</v>
      </c>
      <c r="F35" s="18">
        <f>27500*31</f>
        <v>852500</v>
      </c>
      <c r="H35">
        <f>+'[3]ELpaso SJ &amp; Prm'!$F20</f>
        <v>5.2549999999999999</v>
      </c>
      <c r="I35" s="260">
        <f>(+H35-D35)*F35</f>
        <v>-2058787.5000000007</v>
      </c>
    </row>
    <row r="36" spans="1:9" x14ac:dyDescent="0.2">
      <c r="A36" s="31">
        <v>37288</v>
      </c>
      <c r="D36" s="210">
        <f>+'[3]NGI Socal'!$E11+$D$33</f>
        <v>7.38</v>
      </c>
      <c r="F36" s="18">
        <f>27500*28</f>
        <v>770000</v>
      </c>
      <c r="H36">
        <f>+'[3]ELpaso SJ &amp; Prm'!$F21</f>
        <v>5.0649999999999995</v>
      </c>
      <c r="I36" s="260">
        <f t="shared" ref="I36:I46" si="2">(+H36-D36)*F36</f>
        <v>-1782550.0000000002</v>
      </c>
    </row>
    <row r="37" spans="1:9" x14ac:dyDescent="0.2">
      <c r="A37" s="31">
        <v>37316</v>
      </c>
      <c r="D37" s="210">
        <f>+'[3]NGI Socal'!$E12+$D$33</f>
        <v>6.6300000000000008</v>
      </c>
      <c r="F37" s="18">
        <f>27500*31</f>
        <v>852500</v>
      </c>
      <c r="H37">
        <f>+'[3]ELpaso SJ &amp; Prm'!$F22</f>
        <v>4.7649999999999997</v>
      </c>
      <c r="I37" s="260">
        <f t="shared" si="2"/>
        <v>-1589912.5000000009</v>
      </c>
    </row>
    <row r="38" spans="1:9" x14ac:dyDescent="0.2">
      <c r="A38" s="31">
        <v>37347</v>
      </c>
      <c r="D38" s="210">
        <f>+'[3]NGI Socal'!$E13+$D$33</f>
        <v>6.05</v>
      </c>
      <c r="F38" s="18">
        <f>27500*30</f>
        <v>825000</v>
      </c>
      <c r="H38">
        <f>+'[3]ELpaso SJ &amp; Prm'!$F23</f>
        <v>4.37</v>
      </c>
      <c r="I38" s="260">
        <f t="shared" si="2"/>
        <v>-1385999.9999999998</v>
      </c>
    </row>
    <row r="39" spans="1:9" x14ac:dyDescent="0.2">
      <c r="A39" s="31">
        <v>37377</v>
      </c>
      <c r="D39" s="210">
        <f>+'[3]NGI Socal'!$E14+$D$33</f>
        <v>5.92</v>
      </c>
      <c r="F39" s="18">
        <f>27500*31</f>
        <v>852500</v>
      </c>
      <c r="H39">
        <f>+'[3]ELpaso SJ &amp; Prm'!$F24</f>
        <v>4.24</v>
      </c>
      <c r="I39" s="260">
        <f t="shared" si="2"/>
        <v>-1432199.9999999998</v>
      </c>
    </row>
    <row r="40" spans="1:9" x14ac:dyDescent="0.2">
      <c r="A40" s="31">
        <v>37408</v>
      </c>
      <c r="D40" s="210">
        <f>+'[3]NGI Socal'!$E15+$D$33</f>
        <v>5.9149999999999991</v>
      </c>
      <c r="F40" s="18">
        <f>27500*30</f>
        <v>825000</v>
      </c>
      <c r="H40">
        <f>+'[3]ELpaso SJ &amp; Prm'!$F25</f>
        <v>4.2349999999999994</v>
      </c>
      <c r="I40" s="260">
        <f t="shared" si="2"/>
        <v>-1385999.9999999998</v>
      </c>
    </row>
    <row r="41" spans="1:9" x14ac:dyDescent="0.2">
      <c r="A41" s="31">
        <v>37438</v>
      </c>
      <c r="D41" s="210">
        <f>+'[3]NGI Socal'!$E16+$D$33</f>
        <v>6.6749999999999998</v>
      </c>
      <c r="F41" s="18">
        <f>27500*31</f>
        <v>852500</v>
      </c>
      <c r="H41">
        <f>+'[3]ELpaso SJ &amp; Prm'!$F26</f>
        <v>4.25</v>
      </c>
      <c r="I41" s="260">
        <f t="shared" si="2"/>
        <v>-2067312.4999999998</v>
      </c>
    </row>
    <row r="42" spans="1:9" x14ac:dyDescent="0.2">
      <c r="A42" s="31">
        <v>37469</v>
      </c>
      <c r="D42" s="210">
        <f>+'[3]NGI Socal'!$E17+$D$33</f>
        <v>6.6749999999999998</v>
      </c>
      <c r="F42" s="18">
        <f>27500*31</f>
        <v>852500</v>
      </c>
      <c r="H42">
        <f>+'[3]ELpaso SJ &amp; Prm'!$F27</f>
        <v>4.25</v>
      </c>
      <c r="I42" s="260">
        <f t="shared" si="2"/>
        <v>-2067312.4999999998</v>
      </c>
    </row>
    <row r="43" spans="1:9" x14ac:dyDescent="0.2">
      <c r="A43" s="31">
        <v>37500</v>
      </c>
      <c r="D43" s="210">
        <f>+'[3]NGI Socal'!$E18+$D$33</f>
        <v>6.6749999999999998</v>
      </c>
      <c r="F43" s="18">
        <f>27500*30</f>
        <v>825000</v>
      </c>
      <c r="H43">
        <f>+'[3]ELpaso SJ &amp; Prm'!$F28</f>
        <v>4.25</v>
      </c>
      <c r="I43" s="260">
        <f t="shared" si="2"/>
        <v>-2000624.9999999998</v>
      </c>
    </row>
    <row r="44" spans="1:9" x14ac:dyDescent="0.2">
      <c r="A44" s="31">
        <v>37530</v>
      </c>
      <c r="D44" s="210">
        <f>+'[3]NGI Socal'!$E19+$D$33</f>
        <v>6.06</v>
      </c>
      <c r="F44" s="18">
        <f>27500*31</f>
        <v>852500</v>
      </c>
      <c r="H44">
        <f>+'[3]ELpaso SJ &amp; Prm'!$F29</f>
        <v>4.2649999999999997</v>
      </c>
      <c r="I44" s="260">
        <f t="shared" si="2"/>
        <v>-1530237.5</v>
      </c>
    </row>
    <row r="45" spans="1:9" x14ac:dyDescent="0.2">
      <c r="A45" s="31">
        <v>37561</v>
      </c>
      <c r="D45" s="210">
        <f>+'[3]NGI Socal'!$E20+$D$33</f>
        <v>5.88</v>
      </c>
      <c r="F45" s="18">
        <f>27500*30</f>
        <v>825000</v>
      </c>
      <c r="H45">
        <f>+'[3]ELpaso SJ &amp; Prm'!$F30</f>
        <v>4.3950000000000005</v>
      </c>
      <c r="I45" s="260">
        <f t="shared" si="2"/>
        <v>-1225124.9999999995</v>
      </c>
    </row>
    <row r="46" spans="1:9" x14ac:dyDescent="0.2">
      <c r="A46" s="31">
        <v>37591</v>
      </c>
      <c r="D46" s="210">
        <f>+'[3]NGI Socal'!$E21+$D$33</f>
        <v>5.9849999999999994</v>
      </c>
      <c r="F46" s="65">
        <f>27500*31</f>
        <v>852500</v>
      </c>
      <c r="H46">
        <f>+'[3]ELpaso SJ &amp; Prm'!$F31</f>
        <v>4.5</v>
      </c>
      <c r="I46" s="260">
        <f t="shared" si="2"/>
        <v>-1265962.4999999995</v>
      </c>
    </row>
    <row r="47" spans="1:9" x14ac:dyDescent="0.2">
      <c r="I47" s="260">
        <f>SUM(I35:I46)</f>
        <v>-19792025</v>
      </c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H15" sqref="H15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235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32</v>
      </c>
      <c r="E6" s="6"/>
      <c r="F6" s="6"/>
      <c r="G6" s="6"/>
      <c r="H6" s="6" t="s">
        <v>194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236</v>
      </c>
      <c r="E7" s="9"/>
      <c r="F7" s="9"/>
      <c r="G7" s="9"/>
      <c r="H7" s="9" t="s">
        <v>237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148</v>
      </c>
      <c r="E8" s="203"/>
      <c r="F8" s="203"/>
      <c r="G8" s="204"/>
      <c r="H8" s="9" t="s">
        <v>139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/>
      <c r="E9" s="12"/>
      <c r="F9" s="12"/>
      <c r="G9" s="51"/>
      <c r="H9" s="291">
        <v>0.18</v>
      </c>
      <c r="I9" s="58"/>
      <c r="J9" s="58"/>
      <c r="K9" s="58"/>
      <c r="L9" s="20"/>
    </row>
    <row r="10" spans="1:12" x14ac:dyDescent="0.2">
      <c r="A10" s="31">
        <v>36951</v>
      </c>
      <c r="B10" s="15"/>
      <c r="C10" s="16" t="s">
        <v>194</v>
      </c>
      <c r="D10" s="32">
        <f>+[3]Demarc!$E$13</f>
        <v>5.8369999999999997</v>
      </c>
      <c r="E10" s="15"/>
      <c r="F10" s="18">
        <f>10000*31</f>
        <v>310000</v>
      </c>
      <c r="G10" s="32"/>
      <c r="H10" s="32">
        <f>+H9+'[3]Henry Hub'!$E$13</f>
        <v>5.8869999999999996</v>
      </c>
      <c r="I10" s="17">
        <f>(-H10+D10)*F10</f>
        <v>-15499.999999999945</v>
      </c>
      <c r="J10" s="41">
        <v>0</v>
      </c>
      <c r="K10" s="41">
        <f>+I10-J10</f>
        <v>-15499.999999999945</v>
      </c>
    </row>
    <row r="11" spans="1:12" x14ac:dyDescent="0.2">
      <c r="A11" s="31"/>
      <c r="B11" s="15"/>
      <c r="C11" s="16"/>
      <c r="D11" s="32"/>
      <c r="E11" s="15"/>
      <c r="F11" s="18"/>
      <c r="G11" s="15"/>
      <c r="H11" s="32"/>
      <c r="I11" s="17"/>
      <c r="J11" s="39"/>
      <c r="K11" s="19"/>
    </row>
    <row r="12" spans="1:12" ht="13.5" thickBot="1" x14ac:dyDescent="0.25">
      <c r="A12" s="31"/>
      <c r="B12" s="15"/>
      <c r="C12" s="16"/>
      <c r="D12" s="32"/>
      <c r="E12" s="15"/>
      <c r="F12" s="117">
        <f>+F10</f>
        <v>310000</v>
      </c>
      <c r="G12" s="15"/>
      <c r="H12" s="32"/>
      <c r="I12" s="118">
        <f>+I10</f>
        <v>-15499.999999999945</v>
      </c>
      <c r="J12" s="118">
        <f>+J10</f>
        <v>0</v>
      </c>
      <c r="K12" s="118">
        <f>+K10</f>
        <v>-15499.999999999945</v>
      </c>
    </row>
    <row r="13" spans="1:12" ht="13.5" thickTop="1" x14ac:dyDescent="0.2">
      <c r="A13" s="26"/>
      <c r="B13" s="26"/>
      <c r="C13" s="26"/>
      <c r="D13" s="26"/>
      <c r="E13" s="26"/>
      <c r="F13" s="26"/>
      <c r="G13" s="26"/>
      <c r="H13" s="26"/>
      <c r="I13" s="26"/>
      <c r="J13" s="40"/>
      <c r="K13" s="40"/>
    </row>
    <row r="15" spans="1:12" x14ac:dyDescent="0.2">
      <c r="A15" s="29" t="s">
        <v>37</v>
      </c>
      <c r="H15" s="146">
        <f>-H10+D10</f>
        <v>-4.9999999999999822E-2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1" workbookViewId="0">
      <selection activeCell="K11" sqref="K11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253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160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123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251</v>
      </c>
      <c r="E8" s="203"/>
      <c r="F8" s="203"/>
      <c r="G8" s="204"/>
      <c r="H8" s="9" t="s">
        <v>252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99">
        <v>-9.5000000000000001E-2</v>
      </c>
      <c r="E9" s="12"/>
      <c r="F9" s="12"/>
      <c r="G9" s="51"/>
      <c r="H9" s="291"/>
      <c r="I9" s="58"/>
      <c r="J9" s="58"/>
      <c r="K9" s="58"/>
      <c r="L9" s="20"/>
    </row>
    <row r="10" spans="1:12" x14ac:dyDescent="0.2">
      <c r="A10" s="31">
        <v>36951</v>
      </c>
      <c r="B10" s="15"/>
      <c r="C10" s="16" t="s">
        <v>194</v>
      </c>
      <c r="D10" s="32">
        <f>+[3]Demarc!$E$13+D9</f>
        <v>5.742</v>
      </c>
      <c r="E10" s="15"/>
      <c r="F10" s="18">
        <f>-10000*31</f>
        <v>-310000</v>
      </c>
      <c r="G10" s="32"/>
      <c r="H10" s="32">
        <f>+H9+'[3]Henry Hub'!$E$13</f>
        <v>5.7069999999999999</v>
      </c>
      <c r="I10" s="17">
        <f>(-H10+D10)*F10</f>
        <v>-10850.000000000044</v>
      </c>
      <c r="J10" s="41">
        <v>0</v>
      </c>
      <c r="K10" s="41">
        <f>+I10-J10</f>
        <v>-10850.000000000044</v>
      </c>
    </row>
    <row r="11" spans="1:12" x14ac:dyDescent="0.2">
      <c r="A11" s="31"/>
      <c r="B11" s="15"/>
      <c r="C11" s="16"/>
      <c r="D11" s="32"/>
      <c r="E11" s="15"/>
      <c r="F11" s="18"/>
      <c r="G11" s="15"/>
      <c r="H11" s="32"/>
      <c r="I11" s="17"/>
      <c r="J11" s="39"/>
      <c r="K11" s="19"/>
    </row>
    <row r="12" spans="1:12" ht="13.5" thickBot="1" x14ac:dyDescent="0.25">
      <c r="A12" s="31"/>
      <c r="B12" s="15"/>
      <c r="C12" s="16"/>
      <c r="D12" s="32"/>
      <c r="E12" s="15"/>
      <c r="F12" s="117">
        <f>+F10</f>
        <v>-310000</v>
      </c>
      <c r="G12" s="15"/>
      <c r="H12" s="32"/>
      <c r="I12" s="118">
        <f>+I10</f>
        <v>-10850.000000000044</v>
      </c>
      <c r="J12" s="118">
        <f>+J10</f>
        <v>0</v>
      </c>
      <c r="K12" s="118">
        <f>+K10</f>
        <v>-10850.000000000044</v>
      </c>
    </row>
    <row r="13" spans="1:12" ht="13.5" thickTop="1" x14ac:dyDescent="0.2">
      <c r="A13" s="26"/>
      <c r="B13" s="26"/>
      <c r="C13" s="26"/>
      <c r="D13" s="26"/>
      <c r="E13" s="26"/>
      <c r="F13" s="26"/>
      <c r="G13" s="26"/>
      <c r="H13" s="26"/>
      <c r="I13" s="26"/>
      <c r="J13" s="40"/>
      <c r="K13" s="40"/>
    </row>
    <row r="14" spans="1:12" x14ac:dyDescent="0.2">
      <c r="H14" s="148"/>
    </row>
    <row r="15" spans="1:12" x14ac:dyDescent="0.2">
      <c r="A15" s="29" t="s">
        <v>37</v>
      </c>
    </row>
    <row r="16" spans="1:12" x14ac:dyDescent="0.2">
      <c r="H16" s="148"/>
    </row>
    <row r="17" spans="8:8" x14ac:dyDescent="0.2">
      <c r="H17" s="260"/>
    </row>
  </sheetData>
  <mergeCells count="1">
    <mergeCell ref="A4:K4"/>
  </mergeCell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B1" workbookViewId="0">
      <selection activeCell="I10" sqref="I10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248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247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245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/>
      <c r="E8" s="203"/>
      <c r="F8" s="203"/>
      <c r="G8" s="204"/>
      <c r="H8" s="9" t="s">
        <v>246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/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37257</v>
      </c>
      <c r="B10" s="15"/>
      <c r="C10" s="16" t="s">
        <v>31</v>
      </c>
      <c r="D10" s="32">
        <v>4.5</v>
      </c>
      <c r="E10" s="15"/>
      <c r="F10" s="18">
        <f>5000*31</f>
        <v>155000</v>
      </c>
      <c r="G10" s="32"/>
      <c r="H10" s="32">
        <f>+'[3]ELpaso SJ &amp; Prm'!$F60</f>
        <v>5.5600000000000005</v>
      </c>
      <c r="I10" s="17">
        <f>(-D10+H10)*F10</f>
        <v>164300.00000000009</v>
      </c>
      <c r="J10" s="41"/>
      <c r="K10" s="41">
        <f>+I10</f>
        <v>164300.00000000009</v>
      </c>
    </row>
    <row r="11" spans="1:12" x14ac:dyDescent="0.2">
      <c r="A11" s="31">
        <v>37288</v>
      </c>
      <c r="B11" s="15"/>
      <c r="C11" s="16" t="s">
        <v>31</v>
      </c>
      <c r="D11" s="32">
        <v>4.5</v>
      </c>
      <c r="E11" s="15"/>
      <c r="F11" s="18">
        <f>5000*28</f>
        <v>140000</v>
      </c>
      <c r="G11" s="32"/>
      <c r="H11" s="32">
        <f>+'[3]ELpaso SJ &amp; Prm'!$F61</f>
        <v>5.37</v>
      </c>
      <c r="I11" s="17">
        <f>+F11*(+H11-D11)</f>
        <v>121800.00000000001</v>
      </c>
      <c r="J11" s="41"/>
      <c r="K11" s="41">
        <f t="shared" ref="K11:K21" si="0">+I11</f>
        <v>121800.00000000001</v>
      </c>
    </row>
    <row r="12" spans="1:12" x14ac:dyDescent="0.2">
      <c r="A12" s="31">
        <v>37316</v>
      </c>
      <c r="B12" s="15"/>
      <c r="C12" s="16" t="s">
        <v>31</v>
      </c>
      <c r="D12" s="32">
        <v>4.5</v>
      </c>
      <c r="E12" s="15"/>
      <c r="F12" s="18">
        <f t="shared" ref="F12:F21" si="1">5000*31</f>
        <v>155000</v>
      </c>
      <c r="G12" s="15"/>
      <c r="H12" s="32">
        <f>+'[3]ELpaso SJ &amp; Prm'!$F62</f>
        <v>5.07</v>
      </c>
      <c r="I12" s="17">
        <f t="shared" ref="I12:I21" si="2">+F12*(+H12-D12)</f>
        <v>88350.000000000044</v>
      </c>
      <c r="J12" s="20"/>
      <c r="K12" s="41">
        <f t="shared" si="0"/>
        <v>88350.000000000044</v>
      </c>
      <c r="L12" s="20"/>
    </row>
    <row r="13" spans="1:12" x14ac:dyDescent="0.2">
      <c r="A13" s="31">
        <v>37347</v>
      </c>
      <c r="B13" s="15"/>
      <c r="C13" s="16" t="s">
        <v>31</v>
      </c>
      <c r="D13" s="32">
        <v>4.5</v>
      </c>
      <c r="E13" s="15"/>
      <c r="F13" s="18">
        <f>5000*30</f>
        <v>150000</v>
      </c>
      <c r="G13" s="15"/>
      <c r="H13" s="32">
        <f>+'[3]ELpaso SJ &amp; Prm'!$F63</f>
        <v>4.6400000000000006</v>
      </c>
      <c r="I13" s="17">
        <f t="shared" si="2"/>
        <v>21000.000000000084</v>
      </c>
      <c r="J13" s="15"/>
      <c r="K13" s="41">
        <f t="shared" si="0"/>
        <v>21000.000000000084</v>
      </c>
    </row>
    <row r="14" spans="1:12" x14ac:dyDescent="0.2">
      <c r="A14" s="31">
        <v>37377</v>
      </c>
      <c r="B14" s="15"/>
      <c r="C14" s="16" t="s">
        <v>31</v>
      </c>
      <c r="D14" s="32">
        <v>4.5</v>
      </c>
      <c r="E14" s="15"/>
      <c r="F14" s="18">
        <f t="shared" si="1"/>
        <v>155000</v>
      </c>
      <c r="G14" s="15"/>
      <c r="H14" s="32">
        <f>+'[3]ELpaso SJ &amp; Prm'!$F64</f>
        <v>4.5100000000000007</v>
      </c>
      <c r="I14" s="17">
        <f t="shared" si="2"/>
        <v>1550.0000000001046</v>
      </c>
      <c r="J14" s="15"/>
      <c r="K14" s="41">
        <f t="shared" si="0"/>
        <v>1550.0000000001046</v>
      </c>
    </row>
    <row r="15" spans="1:12" x14ac:dyDescent="0.2">
      <c r="A15" s="31">
        <v>37408</v>
      </c>
      <c r="B15" s="15"/>
      <c r="C15" s="16" t="s">
        <v>31</v>
      </c>
      <c r="D15" s="32">
        <v>4.5</v>
      </c>
      <c r="E15" s="15"/>
      <c r="F15" s="18">
        <f>5000*30</f>
        <v>150000</v>
      </c>
      <c r="G15" s="15"/>
      <c r="H15" s="32">
        <f>+'[3]ELpaso SJ &amp; Prm'!$F65</f>
        <v>4.5049999999999999</v>
      </c>
      <c r="I15" s="17">
        <f t="shared" si="2"/>
        <v>749.99999999998397</v>
      </c>
      <c r="J15" s="15"/>
      <c r="K15" s="41">
        <f t="shared" si="0"/>
        <v>749.99999999998397</v>
      </c>
    </row>
    <row r="16" spans="1:12" x14ac:dyDescent="0.2">
      <c r="A16" s="31">
        <v>37438</v>
      </c>
      <c r="B16" s="15"/>
      <c r="C16" s="16" t="s">
        <v>31</v>
      </c>
      <c r="D16" s="32">
        <v>4.5</v>
      </c>
      <c r="E16" s="15"/>
      <c r="F16" s="18">
        <f t="shared" si="1"/>
        <v>155000</v>
      </c>
      <c r="G16" s="15"/>
      <c r="H16" s="32">
        <f>+'[3]ELpaso SJ &amp; Prm'!$F66</f>
        <v>4.5200000000000005</v>
      </c>
      <c r="I16" s="17">
        <f t="shared" si="2"/>
        <v>3100.0000000000714</v>
      </c>
      <c r="J16" s="15"/>
      <c r="K16" s="41">
        <f t="shared" si="0"/>
        <v>3100.0000000000714</v>
      </c>
    </row>
    <row r="17" spans="1:11" x14ac:dyDescent="0.2">
      <c r="A17" s="31">
        <v>37469</v>
      </c>
      <c r="B17" s="15"/>
      <c r="C17" s="16" t="s">
        <v>31</v>
      </c>
      <c r="D17" s="32">
        <v>4.5</v>
      </c>
      <c r="E17" s="15"/>
      <c r="F17" s="18">
        <f t="shared" si="1"/>
        <v>155000</v>
      </c>
      <c r="G17" s="15"/>
      <c r="H17" s="32">
        <f>+'[3]ELpaso SJ &amp; Prm'!$F67</f>
        <v>4.5200000000000005</v>
      </c>
      <c r="I17" s="17">
        <f t="shared" si="2"/>
        <v>3100.0000000000714</v>
      </c>
      <c r="J17" s="15"/>
      <c r="K17" s="41">
        <f t="shared" si="0"/>
        <v>3100.0000000000714</v>
      </c>
    </row>
    <row r="18" spans="1:11" x14ac:dyDescent="0.2">
      <c r="A18" s="31">
        <v>37500</v>
      </c>
      <c r="B18" s="15"/>
      <c r="C18" s="16" t="s">
        <v>31</v>
      </c>
      <c r="D18" s="32">
        <v>4.5</v>
      </c>
      <c r="E18" s="15"/>
      <c r="F18" s="18">
        <f>5000*30</f>
        <v>150000</v>
      </c>
      <c r="G18" s="15"/>
      <c r="H18" s="32">
        <f>+'[3]ELpaso SJ &amp; Prm'!$F68</f>
        <v>4.5200000000000005</v>
      </c>
      <c r="I18" s="17">
        <f t="shared" si="2"/>
        <v>3000.0000000000691</v>
      </c>
      <c r="J18" s="15"/>
      <c r="K18" s="41">
        <f t="shared" si="0"/>
        <v>3000.0000000000691</v>
      </c>
    </row>
    <row r="19" spans="1:11" x14ac:dyDescent="0.2">
      <c r="A19" s="31">
        <v>37530</v>
      </c>
      <c r="B19" s="15"/>
      <c r="C19" s="16" t="s">
        <v>31</v>
      </c>
      <c r="D19" s="32">
        <v>4.5</v>
      </c>
      <c r="E19" s="15"/>
      <c r="F19" s="18">
        <f t="shared" si="1"/>
        <v>155000</v>
      </c>
      <c r="G19" s="15"/>
      <c r="H19" s="32">
        <f>+'[3]ELpaso SJ &amp; Prm'!$F69</f>
        <v>4.5350000000000001</v>
      </c>
      <c r="I19" s="17">
        <f t="shared" si="2"/>
        <v>5425.0000000000218</v>
      </c>
      <c r="J19" s="15"/>
      <c r="K19" s="41">
        <f t="shared" si="0"/>
        <v>5425.0000000000218</v>
      </c>
    </row>
    <row r="20" spans="1:11" x14ac:dyDescent="0.2">
      <c r="A20" s="31">
        <v>37561</v>
      </c>
      <c r="B20" s="15"/>
      <c r="C20" s="16" t="s">
        <v>31</v>
      </c>
      <c r="D20" s="32">
        <v>4.5</v>
      </c>
      <c r="E20" s="15"/>
      <c r="F20" s="18">
        <f>5000*30</f>
        <v>150000</v>
      </c>
      <c r="G20" s="15"/>
      <c r="H20" s="32">
        <f>+'[3]ELpaso SJ &amp; Prm'!$F70</f>
        <v>4.6349999999999998</v>
      </c>
      <c r="I20" s="17">
        <f t="shared" si="2"/>
        <v>20249.999999999967</v>
      </c>
      <c r="J20" s="15"/>
      <c r="K20" s="41">
        <f t="shared" si="0"/>
        <v>20249.999999999967</v>
      </c>
    </row>
    <row r="21" spans="1:11" x14ac:dyDescent="0.2">
      <c r="A21" s="31">
        <v>37591</v>
      </c>
      <c r="B21" s="15"/>
      <c r="C21" s="16" t="s">
        <v>31</v>
      </c>
      <c r="D21" s="32">
        <v>4.5</v>
      </c>
      <c r="E21" s="15"/>
      <c r="F21" s="65">
        <f t="shared" si="1"/>
        <v>155000</v>
      </c>
      <c r="G21" s="15"/>
      <c r="H21" s="32">
        <f>+'[3]ELpaso SJ &amp; Prm'!$F71</f>
        <v>4.7399999999999993</v>
      </c>
      <c r="I21" s="66">
        <f t="shared" si="2"/>
        <v>37199.999999999898</v>
      </c>
      <c r="J21" s="66"/>
      <c r="K21" s="122">
        <f t="shared" si="0"/>
        <v>37199.999999999898</v>
      </c>
    </row>
    <row r="22" spans="1:11" x14ac:dyDescent="0.2">
      <c r="A22" s="31"/>
      <c r="B22" s="15"/>
      <c r="C22" s="16"/>
      <c r="D22" s="32"/>
      <c r="E22" s="15"/>
      <c r="F22" s="18">
        <f>SUM(F10:F21)</f>
        <v>1825000</v>
      </c>
      <c r="G22" s="15"/>
      <c r="H22" s="32"/>
      <c r="I22" s="17">
        <f>SUM(I10:I21)</f>
        <v>469825.00000000035</v>
      </c>
      <c r="J22" s="17">
        <f>SUM(J10:J21)</f>
        <v>0</v>
      </c>
      <c r="K22" s="17">
        <f>SUM(K10:K21)</f>
        <v>469825.00000000035</v>
      </c>
    </row>
    <row r="23" spans="1:11" x14ac:dyDescent="0.2">
      <c r="A23" s="31"/>
      <c r="B23" s="15"/>
      <c r="C23" s="16"/>
      <c r="D23" s="32"/>
      <c r="E23" s="15"/>
      <c r="F23" s="18"/>
      <c r="G23" s="2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1825000</v>
      </c>
      <c r="G25" s="15"/>
      <c r="H25" s="32"/>
      <c r="I25" s="118">
        <f>+I22</f>
        <v>469825.00000000035</v>
      </c>
      <c r="J25" s="118">
        <f>+J22</f>
        <v>0</v>
      </c>
      <c r="K25" s="118">
        <f>+K22</f>
        <v>469825.00000000035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  <row r="30" spans="1:11" x14ac:dyDescent="0.2">
      <c r="D30" t="s">
        <v>180</v>
      </c>
      <c r="H30" t="s">
        <v>25</v>
      </c>
    </row>
    <row r="31" spans="1:11" x14ac:dyDescent="0.2">
      <c r="D31" t="s">
        <v>138</v>
      </c>
      <c r="H31" t="s">
        <v>141</v>
      </c>
    </row>
    <row r="32" spans="1:11" x14ac:dyDescent="0.2">
      <c r="D32" t="s">
        <v>220</v>
      </c>
      <c r="H32" t="s">
        <v>221</v>
      </c>
    </row>
    <row r="33" spans="1:9" x14ac:dyDescent="0.2">
      <c r="D33">
        <v>-0.05</v>
      </c>
    </row>
    <row r="35" spans="1:9" x14ac:dyDescent="0.2">
      <c r="A35" s="31">
        <v>37257</v>
      </c>
      <c r="D35" s="210">
        <f>+'[3]NGI Socal'!$E10+$D$33</f>
        <v>7.6700000000000008</v>
      </c>
      <c r="F35" s="18">
        <f>27500*31</f>
        <v>852500</v>
      </c>
      <c r="H35">
        <f>+'[3]ELpaso SJ &amp; Prm'!$F20</f>
        <v>5.2549999999999999</v>
      </c>
      <c r="I35" s="260">
        <f>(+H35-D35)*F35</f>
        <v>-2058787.5000000007</v>
      </c>
    </row>
    <row r="36" spans="1:9" x14ac:dyDescent="0.2">
      <c r="A36" s="31">
        <v>37288</v>
      </c>
      <c r="D36" s="210">
        <f>+'[3]NGI Socal'!$E11+$D$33</f>
        <v>7.38</v>
      </c>
      <c r="F36" s="18">
        <f>27500*28</f>
        <v>770000</v>
      </c>
      <c r="H36">
        <f>+'[3]ELpaso SJ &amp; Prm'!$F21</f>
        <v>5.0649999999999995</v>
      </c>
      <c r="I36" s="260">
        <f t="shared" ref="I36:I46" si="3">(+H36-D36)*F36</f>
        <v>-1782550.0000000002</v>
      </c>
    </row>
    <row r="37" spans="1:9" x14ac:dyDescent="0.2">
      <c r="A37" s="31">
        <v>37316</v>
      </c>
      <c r="D37" s="210">
        <f>+'[3]NGI Socal'!$E12+$D$33</f>
        <v>6.6300000000000008</v>
      </c>
      <c r="F37" s="18">
        <f>27500*31</f>
        <v>852500</v>
      </c>
      <c r="H37">
        <f>+'[3]ELpaso SJ &amp; Prm'!$F22</f>
        <v>4.7649999999999997</v>
      </c>
      <c r="I37" s="260">
        <f t="shared" si="3"/>
        <v>-1589912.5000000009</v>
      </c>
    </row>
    <row r="38" spans="1:9" x14ac:dyDescent="0.2">
      <c r="A38" s="31">
        <v>37347</v>
      </c>
      <c r="D38" s="210">
        <f>+'[3]NGI Socal'!$E13+$D$33</f>
        <v>6.05</v>
      </c>
      <c r="F38" s="18">
        <f>27500*30</f>
        <v>825000</v>
      </c>
      <c r="H38">
        <f>+'[3]ELpaso SJ &amp; Prm'!$F23</f>
        <v>4.37</v>
      </c>
      <c r="I38" s="260">
        <f t="shared" si="3"/>
        <v>-1385999.9999999998</v>
      </c>
    </row>
    <row r="39" spans="1:9" x14ac:dyDescent="0.2">
      <c r="A39" s="31">
        <v>37377</v>
      </c>
      <c r="D39" s="210">
        <f>+'[3]NGI Socal'!$E14+$D$33</f>
        <v>5.92</v>
      </c>
      <c r="F39" s="18">
        <f>27500*31</f>
        <v>852500</v>
      </c>
      <c r="H39">
        <f>+'[3]ELpaso SJ &amp; Prm'!$F24</f>
        <v>4.24</v>
      </c>
      <c r="I39" s="260">
        <f t="shared" si="3"/>
        <v>-1432199.9999999998</v>
      </c>
    </row>
    <row r="40" spans="1:9" x14ac:dyDescent="0.2">
      <c r="A40" s="31">
        <v>37408</v>
      </c>
      <c r="D40" s="210">
        <f>+'[3]NGI Socal'!$E15+$D$33</f>
        <v>5.9149999999999991</v>
      </c>
      <c r="F40" s="18">
        <f>27500*30</f>
        <v>825000</v>
      </c>
      <c r="H40">
        <f>+'[3]ELpaso SJ &amp; Prm'!$F25</f>
        <v>4.2349999999999994</v>
      </c>
      <c r="I40" s="260">
        <f t="shared" si="3"/>
        <v>-1385999.9999999998</v>
      </c>
    </row>
    <row r="41" spans="1:9" x14ac:dyDescent="0.2">
      <c r="A41" s="31">
        <v>37438</v>
      </c>
      <c r="D41" s="210">
        <f>+'[3]NGI Socal'!$E16+$D$33</f>
        <v>6.6749999999999998</v>
      </c>
      <c r="F41" s="18">
        <f>27500*31</f>
        <v>852500</v>
      </c>
      <c r="H41">
        <f>+'[3]ELpaso SJ &amp; Prm'!$F26</f>
        <v>4.25</v>
      </c>
      <c r="I41" s="260">
        <f t="shared" si="3"/>
        <v>-2067312.4999999998</v>
      </c>
    </row>
    <row r="42" spans="1:9" x14ac:dyDescent="0.2">
      <c r="A42" s="31">
        <v>37469</v>
      </c>
      <c r="D42" s="210">
        <f>+'[3]NGI Socal'!$E17+$D$33</f>
        <v>6.6749999999999998</v>
      </c>
      <c r="F42" s="18">
        <f>27500*31</f>
        <v>852500</v>
      </c>
      <c r="H42">
        <f>+'[3]ELpaso SJ &amp; Prm'!$F27</f>
        <v>4.25</v>
      </c>
      <c r="I42" s="260">
        <f t="shared" si="3"/>
        <v>-2067312.4999999998</v>
      </c>
    </row>
    <row r="43" spans="1:9" x14ac:dyDescent="0.2">
      <c r="A43" s="31">
        <v>37500</v>
      </c>
      <c r="D43" s="210">
        <f>+'[3]NGI Socal'!$E18+$D$33</f>
        <v>6.6749999999999998</v>
      </c>
      <c r="F43" s="18">
        <f>27500*30</f>
        <v>825000</v>
      </c>
      <c r="H43">
        <f>+'[3]ELpaso SJ &amp; Prm'!$F28</f>
        <v>4.25</v>
      </c>
      <c r="I43" s="260">
        <f t="shared" si="3"/>
        <v>-2000624.9999999998</v>
      </c>
    </row>
    <row r="44" spans="1:9" x14ac:dyDescent="0.2">
      <c r="A44" s="31">
        <v>37530</v>
      </c>
      <c r="D44" s="210">
        <f>+'[3]NGI Socal'!$E19+$D$33</f>
        <v>6.06</v>
      </c>
      <c r="F44" s="18">
        <f>27500*31</f>
        <v>852500</v>
      </c>
      <c r="H44">
        <f>+'[3]ELpaso SJ &amp; Prm'!$F29</f>
        <v>4.2649999999999997</v>
      </c>
      <c r="I44" s="260">
        <f t="shared" si="3"/>
        <v>-1530237.5</v>
      </c>
    </row>
    <row r="45" spans="1:9" x14ac:dyDescent="0.2">
      <c r="A45" s="31">
        <v>37561</v>
      </c>
      <c r="D45" s="210">
        <f>+'[3]NGI Socal'!$E20+$D$33</f>
        <v>5.88</v>
      </c>
      <c r="F45" s="18">
        <f>27500*30</f>
        <v>825000</v>
      </c>
      <c r="H45">
        <f>+'[3]ELpaso SJ &amp; Prm'!$F30</f>
        <v>4.3950000000000005</v>
      </c>
      <c r="I45" s="260">
        <f t="shared" si="3"/>
        <v>-1225124.9999999995</v>
      </c>
    </row>
    <row r="46" spans="1:9" x14ac:dyDescent="0.2">
      <c r="A46" s="31">
        <v>37591</v>
      </c>
      <c r="D46" s="210">
        <f>+'[3]NGI Socal'!$E21+$D$33</f>
        <v>5.9849999999999994</v>
      </c>
      <c r="F46" s="65">
        <f>27500*31</f>
        <v>852500</v>
      </c>
      <c r="H46">
        <f>+'[3]ELpaso SJ &amp; Prm'!$F31</f>
        <v>4.5</v>
      </c>
      <c r="I46" s="260">
        <f t="shared" si="3"/>
        <v>-1265962.4999999995</v>
      </c>
    </row>
    <row r="47" spans="1:9" x14ac:dyDescent="0.2">
      <c r="I47" s="260">
        <f>SUM(I35:I46)</f>
        <v>-19792025</v>
      </c>
    </row>
  </sheetData>
  <mergeCells count="1">
    <mergeCell ref="A4:K4"/>
  </mergeCell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B1" workbookViewId="0">
      <selection activeCell="B1"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bestFit="1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249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85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245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/>
      <c r="E8" s="203"/>
      <c r="F8" s="203"/>
      <c r="G8" s="204"/>
      <c r="H8" s="9" t="s">
        <v>246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/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37257</v>
      </c>
      <c r="B10" s="15"/>
      <c r="C10" s="16" t="s">
        <v>31</v>
      </c>
      <c r="D10" s="32">
        <v>4.43</v>
      </c>
      <c r="E10" s="15"/>
      <c r="F10" s="18">
        <f>-5000*31</f>
        <v>-155000</v>
      </c>
      <c r="G10" s="32"/>
      <c r="H10" s="32">
        <f>+'[3]ELpaso SJ &amp; Prm'!$F60</f>
        <v>5.5600000000000005</v>
      </c>
      <c r="I10" s="17">
        <f>(-D10+H10)*F10</f>
        <v>-175150.00000000012</v>
      </c>
      <c r="J10" s="41"/>
      <c r="K10" s="41">
        <f>+I10</f>
        <v>-175150.00000000012</v>
      </c>
    </row>
    <row r="11" spans="1:12" x14ac:dyDescent="0.2">
      <c r="A11" s="31">
        <v>37288</v>
      </c>
      <c r="B11" s="15"/>
      <c r="C11" s="16" t="s">
        <v>31</v>
      </c>
      <c r="D11" s="32">
        <v>4.43</v>
      </c>
      <c r="E11" s="15"/>
      <c r="F11" s="18">
        <f>-5000*28</f>
        <v>-140000</v>
      </c>
      <c r="G11" s="32"/>
      <c r="H11" s="32">
        <f>+'[3]ELpaso SJ &amp; Prm'!$F61</f>
        <v>5.37</v>
      </c>
      <c r="I11" s="17">
        <f t="shared" ref="I11:I21" si="0">(-D11+H11)*F11</f>
        <v>-131600.00000000006</v>
      </c>
      <c r="J11" s="41"/>
      <c r="K11" s="41">
        <f t="shared" ref="K11:K21" si="1">+I11</f>
        <v>-131600.00000000006</v>
      </c>
    </row>
    <row r="12" spans="1:12" x14ac:dyDescent="0.2">
      <c r="A12" s="31">
        <v>37316</v>
      </c>
      <c r="B12" s="15"/>
      <c r="C12" s="16" t="s">
        <v>31</v>
      </c>
      <c r="D12" s="32">
        <v>4.43</v>
      </c>
      <c r="E12" s="15"/>
      <c r="F12" s="18">
        <f>-5000*31</f>
        <v>-155000</v>
      </c>
      <c r="G12" s="15"/>
      <c r="H12" s="32">
        <f>+'[3]ELpaso SJ &amp; Prm'!$F62</f>
        <v>5.07</v>
      </c>
      <c r="I12" s="17">
        <f t="shared" si="0"/>
        <v>-99200.000000000087</v>
      </c>
      <c r="J12" s="20"/>
      <c r="K12" s="41">
        <f t="shared" si="1"/>
        <v>-99200.000000000087</v>
      </c>
      <c r="L12" s="20"/>
    </row>
    <row r="13" spans="1:12" x14ac:dyDescent="0.2">
      <c r="A13" s="31">
        <v>37347</v>
      </c>
      <c r="B13" s="15"/>
      <c r="C13" s="16" t="s">
        <v>31</v>
      </c>
      <c r="D13" s="32">
        <v>4.43</v>
      </c>
      <c r="E13" s="15"/>
      <c r="F13" s="18">
        <f>-5000*30</f>
        <v>-150000</v>
      </c>
      <c r="G13" s="15"/>
      <c r="H13" s="32">
        <f>+'[3]ELpaso SJ &amp; Prm'!$F63</f>
        <v>4.6400000000000006</v>
      </c>
      <c r="I13" s="17">
        <f t="shared" si="0"/>
        <v>-31500.000000000127</v>
      </c>
      <c r="J13" s="15"/>
      <c r="K13" s="41">
        <f t="shared" si="1"/>
        <v>-31500.000000000127</v>
      </c>
    </row>
    <row r="14" spans="1:12" x14ac:dyDescent="0.2">
      <c r="A14" s="31">
        <v>37377</v>
      </c>
      <c r="B14" s="15"/>
      <c r="C14" s="16" t="s">
        <v>31</v>
      </c>
      <c r="D14" s="32">
        <v>4.43</v>
      </c>
      <c r="E14" s="15"/>
      <c r="F14" s="18">
        <f>-5000*31</f>
        <v>-155000</v>
      </c>
      <c r="G14" s="15"/>
      <c r="H14" s="32">
        <f>+'[3]ELpaso SJ &amp; Prm'!$F64</f>
        <v>4.5100000000000007</v>
      </c>
      <c r="I14" s="17">
        <f t="shared" si="0"/>
        <v>-12400.000000000149</v>
      </c>
      <c r="J14" s="15"/>
      <c r="K14" s="41">
        <f t="shared" si="1"/>
        <v>-12400.000000000149</v>
      </c>
    </row>
    <row r="15" spans="1:12" x14ac:dyDescent="0.2">
      <c r="A15" s="31">
        <v>37408</v>
      </c>
      <c r="B15" s="15"/>
      <c r="C15" s="16" t="s">
        <v>31</v>
      </c>
      <c r="D15" s="32">
        <v>4.43</v>
      </c>
      <c r="E15" s="15"/>
      <c r="F15" s="18">
        <f>-5000*30</f>
        <v>-150000</v>
      </c>
      <c r="G15" s="15"/>
      <c r="H15" s="32">
        <f>+'[3]ELpaso SJ &amp; Prm'!$F65</f>
        <v>4.5049999999999999</v>
      </c>
      <c r="I15" s="17">
        <f t="shared" si="0"/>
        <v>-11250.000000000027</v>
      </c>
      <c r="J15" s="15"/>
      <c r="K15" s="41">
        <f t="shared" si="1"/>
        <v>-11250.000000000027</v>
      </c>
    </row>
    <row r="16" spans="1:12" x14ac:dyDescent="0.2">
      <c r="A16" s="31">
        <v>37438</v>
      </c>
      <c r="B16" s="15"/>
      <c r="C16" s="16" t="s">
        <v>31</v>
      </c>
      <c r="D16" s="32">
        <v>4.43</v>
      </c>
      <c r="E16" s="15"/>
      <c r="F16" s="18">
        <f>-5000*31</f>
        <v>-155000</v>
      </c>
      <c r="G16" s="15"/>
      <c r="H16" s="32">
        <f>+'[3]ELpaso SJ &amp; Prm'!$F66</f>
        <v>4.5200000000000005</v>
      </c>
      <c r="I16" s="17">
        <f t="shared" si="0"/>
        <v>-13950.000000000116</v>
      </c>
      <c r="J16" s="15"/>
      <c r="K16" s="41">
        <f t="shared" si="1"/>
        <v>-13950.000000000116</v>
      </c>
    </row>
    <row r="17" spans="1:11" x14ac:dyDescent="0.2">
      <c r="A17" s="31">
        <v>37469</v>
      </c>
      <c r="B17" s="15"/>
      <c r="C17" s="16" t="s">
        <v>31</v>
      </c>
      <c r="D17" s="32">
        <v>4.43</v>
      </c>
      <c r="E17" s="15"/>
      <c r="F17" s="18">
        <f>-5000*31</f>
        <v>-155000</v>
      </c>
      <c r="G17" s="15"/>
      <c r="H17" s="32">
        <f>+'[3]ELpaso SJ &amp; Prm'!$F67</f>
        <v>4.5200000000000005</v>
      </c>
      <c r="I17" s="17">
        <f t="shared" si="0"/>
        <v>-13950.000000000116</v>
      </c>
      <c r="J17" s="15"/>
      <c r="K17" s="41">
        <f t="shared" si="1"/>
        <v>-13950.000000000116</v>
      </c>
    </row>
    <row r="18" spans="1:11" x14ac:dyDescent="0.2">
      <c r="A18" s="31">
        <v>37500</v>
      </c>
      <c r="B18" s="15"/>
      <c r="C18" s="16" t="s">
        <v>31</v>
      </c>
      <c r="D18" s="32">
        <v>4.43</v>
      </c>
      <c r="E18" s="15"/>
      <c r="F18" s="18">
        <f>-5000*30</f>
        <v>-150000</v>
      </c>
      <c r="G18" s="15"/>
      <c r="H18" s="32">
        <f>+'[3]ELpaso SJ &amp; Prm'!$F68</f>
        <v>4.5200000000000005</v>
      </c>
      <c r="I18" s="17">
        <f t="shared" si="0"/>
        <v>-13500.000000000113</v>
      </c>
      <c r="J18" s="15"/>
      <c r="K18" s="41">
        <f t="shared" si="1"/>
        <v>-13500.000000000113</v>
      </c>
    </row>
    <row r="19" spans="1:11" x14ac:dyDescent="0.2">
      <c r="A19" s="31">
        <v>37530</v>
      </c>
      <c r="B19" s="15"/>
      <c r="C19" s="16" t="s">
        <v>31</v>
      </c>
      <c r="D19" s="32">
        <v>4.43</v>
      </c>
      <c r="E19" s="15"/>
      <c r="F19" s="18">
        <f>-5000*31</f>
        <v>-155000</v>
      </c>
      <c r="G19" s="15"/>
      <c r="H19" s="32">
        <f>+'[3]ELpaso SJ &amp; Prm'!$F69</f>
        <v>4.5350000000000001</v>
      </c>
      <c r="I19" s="17">
        <f t="shared" si="0"/>
        <v>-16275.000000000065</v>
      </c>
      <c r="J19" s="15"/>
      <c r="K19" s="41">
        <f t="shared" si="1"/>
        <v>-16275.000000000065</v>
      </c>
    </row>
    <row r="20" spans="1:11" x14ac:dyDescent="0.2">
      <c r="A20" s="31">
        <v>37561</v>
      </c>
      <c r="B20" s="15"/>
      <c r="C20" s="16" t="s">
        <v>31</v>
      </c>
      <c r="D20" s="32">
        <v>4.43</v>
      </c>
      <c r="E20" s="15"/>
      <c r="F20" s="18">
        <f>-5000*30</f>
        <v>-150000</v>
      </c>
      <c r="G20" s="15"/>
      <c r="H20" s="32">
        <f>+'[3]ELpaso SJ &amp; Prm'!$F70</f>
        <v>4.6349999999999998</v>
      </c>
      <c r="I20" s="17">
        <f t="shared" si="0"/>
        <v>-30750.000000000011</v>
      </c>
      <c r="J20" s="15"/>
      <c r="K20" s="41">
        <f t="shared" si="1"/>
        <v>-30750.000000000011</v>
      </c>
    </row>
    <row r="21" spans="1:11" x14ac:dyDescent="0.2">
      <c r="A21" s="31">
        <v>37591</v>
      </c>
      <c r="B21" s="15"/>
      <c r="C21" s="16" t="s">
        <v>31</v>
      </c>
      <c r="D21" s="32">
        <v>4.43</v>
      </c>
      <c r="E21" s="15"/>
      <c r="F21" s="65">
        <f>-5000*31</f>
        <v>-155000</v>
      </c>
      <c r="G21" s="15"/>
      <c r="H21" s="32">
        <f>+'[3]ELpaso SJ &amp; Prm'!$F71</f>
        <v>4.7399999999999993</v>
      </c>
      <c r="I21" s="17">
        <f t="shared" si="0"/>
        <v>-48049.999999999942</v>
      </c>
      <c r="J21" s="66"/>
      <c r="K21" s="122">
        <f t="shared" si="1"/>
        <v>-48049.999999999942</v>
      </c>
    </row>
    <row r="22" spans="1:11" x14ac:dyDescent="0.2">
      <c r="A22" s="31"/>
      <c r="B22" s="15"/>
      <c r="C22" s="16"/>
      <c r="D22" s="32"/>
      <c r="E22" s="15"/>
      <c r="F22" s="18">
        <f>SUM(F10:F21)</f>
        <v>-1825000</v>
      </c>
      <c r="G22" s="15"/>
      <c r="H22" s="32"/>
      <c r="I22" s="17">
        <f>SUM(I10:I21)</f>
        <v>-597575.00000000093</v>
      </c>
      <c r="J22" s="17">
        <f>SUM(J10:J21)</f>
        <v>0</v>
      </c>
      <c r="K22" s="17">
        <f>SUM(K10:K21)</f>
        <v>-597575.00000000093</v>
      </c>
    </row>
    <row r="23" spans="1:11" x14ac:dyDescent="0.2">
      <c r="A23" s="31"/>
      <c r="B23" s="15"/>
      <c r="C23" s="16"/>
      <c r="D23" s="32"/>
      <c r="E23" s="15"/>
      <c r="F23" s="18"/>
      <c r="G23" s="2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-1825000</v>
      </c>
      <c r="G25" s="15"/>
      <c r="H25" s="32"/>
      <c r="I25" s="118">
        <f>+I22</f>
        <v>-597575.00000000093</v>
      </c>
      <c r="J25" s="118">
        <f>+J22</f>
        <v>0</v>
      </c>
      <c r="K25" s="118">
        <f>+K22</f>
        <v>-597575.00000000093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  <row r="30" spans="1:11" x14ac:dyDescent="0.2">
      <c r="D30" t="s">
        <v>180</v>
      </c>
      <c r="H30" t="s">
        <v>25</v>
      </c>
    </row>
    <row r="31" spans="1:11" x14ac:dyDescent="0.2">
      <c r="D31" t="s">
        <v>138</v>
      </c>
      <c r="H31" t="s">
        <v>141</v>
      </c>
    </row>
    <row r="32" spans="1:11" x14ac:dyDescent="0.2">
      <c r="D32" t="s">
        <v>220</v>
      </c>
      <c r="H32" t="s">
        <v>221</v>
      </c>
    </row>
    <row r="33" spans="1:9" x14ac:dyDescent="0.2">
      <c r="D33">
        <v>-0.05</v>
      </c>
    </row>
    <row r="35" spans="1:9" x14ac:dyDescent="0.2">
      <c r="A35" s="31">
        <v>37257</v>
      </c>
      <c r="D35" s="210">
        <f>+'[3]NGI Socal'!$E10+$D$33</f>
        <v>7.6700000000000008</v>
      </c>
      <c r="F35" s="18">
        <f>27500*31</f>
        <v>852500</v>
      </c>
      <c r="H35">
        <f>+'[3]ELpaso SJ &amp; Prm'!$F20</f>
        <v>5.2549999999999999</v>
      </c>
      <c r="I35" s="260">
        <f>(+H35-D35)*F35</f>
        <v>-2058787.5000000007</v>
      </c>
    </row>
    <row r="36" spans="1:9" x14ac:dyDescent="0.2">
      <c r="A36" s="31">
        <v>37288</v>
      </c>
      <c r="D36" s="210">
        <f>+'[3]NGI Socal'!$E11+$D$33</f>
        <v>7.38</v>
      </c>
      <c r="F36" s="18">
        <f>27500*28</f>
        <v>770000</v>
      </c>
      <c r="H36">
        <f>+'[3]ELpaso SJ &amp; Prm'!$F21</f>
        <v>5.0649999999999995</v>
      </c>
      <c r="I36" s="260">
        <f t="shared" ref="I36:I46" si="2">(+H36-D36)*F36</f>
        <v>-1782550.0000000002</v>
      </c>
    </row>
    <row r="37" spans="1:9" x14ac:dyDescent="0.2">
      <c r="A37" s="31">
        <v>37316</v>
      </c>
      <c r="D37" s="210">
        <f>+'[3]NGI Socal'!$E12+$D$33</f>
        <v>6.6300000000000008</v>
      </c>
      <c r="F37" s="18">
        <f>27500*31</f>
        <v>852500</v>
      </c>
      <c r="H37">
        <f>+'[3]ELpaso SJ &amp; Prm'!$F22</f>
        <v>4.7649999999999997</v>
      </c>
      <c r="I37" s="260">
        <f t="shared" si="2"/>
        <v>-1589912.5000000009</v>
      </c>
    </row>
    <row r="38" spans="1:9" x14ac:dyDescent="0.2">
      <c r="A38" s="31">
        <v>37347</v>
      </c>
      <c r="D38" s="210">
        <f>+'[3]NGI Socal'!$E13+$D$33</f>
        <v>6.05</v>
      </c>
      <c r="F38" s="18">
        <f>27500*30</f>
        <v>825000</v>
      </c>
      <c r="H38">
        <f>+'[3]ELpaso SJ &amp; Prm'!$F23</f>
        <v>4.37</v>
      </c>
      <c r="I38" s="260">
        <f t="shared" si="2"/>
        <v>-1385999.9999999998</v>
      </c>
    </row>
    <row r="39" spans="1:9" x14ac:dyDescent="0.2">
      <c r="A39" s="31">
        <v>37377</v>
      </c>
      <c r="D39" s="210">
        <f>+'[3]NGI Socal'!$E14+$D$33</f>
        <v>5.92</v>
      </c>
      <c r="F39" s="18">
        <f>27500*31</f>
        <v>852500</v>
      </c>
      <c r="H39">
        <f>+'[3]ELpaso SJ &amp; Prm'!$F24</f>
        <v>4.24</v>
      </c>
      <c r="I39" s="260">
        <f t="shared" si="2"/>
        <v>-1432199.9999999998</v>
      </c>
    </row>
    <row r="40" spans="1:9" x14ac:dyDescent="0.2">
      <c r="A40" s="31">
        <v>37408</v>
      </c>
      <c r="D40" s="210">
        <f>+'[3]NGI Socal'!$E15+$D$33</f>
        <v>5.9149999999999991</v>
      </c>
      <c r="F40" s="18">
        <f>27500*30</f>
        <v>825000</v>
      </c>
      <c r="H40">
        <f>+'[3]ELpaso SJ &amp; Prm'!$F25</f>
        <v>4.2349999999999994</v>
      </c>
      <c r="I40" s="260">
        <f t="shared" si="2"/>
        <v>-1385999.9999999998</v>
      </c>
    </row>
    <row r="41" spans="1:9" x14ac:dyDescent="0.2">
      <c r="A41" s="31">
        <v>37438</v>
      </c>
      <c r="D41" s="210">
        <f>+'[3]NGI Socal'!$E16+$D$33</f>
        <v>6.6749999999999998</v>
      </c>
      <c r="F41" s="18">
        <f>27500*31</f>
        <v>852500</v>
      </c>
      <c r="H41">
        <f>+'[3]ELpaso SJ &amp; Prm'!$F26</f>
        <v>4.25</v>
      </c>
      <c r="I41" s="260">
        <f t="shared" si="2"/>
        <v>-2067312.4999999998</v>
      </c>
    </row>
    <row r="42" spans="1:9" x14ac:dyDescent="0.2">
      <c r="A42" s="31">
        <v>37469</v>
      </c>
      <c r="D42" s="210">
        <f>+'[3]NGI Socal'!$E17+$D$33</f>
        <v>6.6749999999999998</v>
      </c>
      <c r="F42" s="18">
        <f>27500*31</f>
        <v>852500</v>
      </c>
      <c r="H42">
        <f>+'[3]ELpaso SJ &amp; Prm'!$F27</f>
        <v>4.25</v>
      </c>
      <c r="I42" s="260">
        <f t="shared" si="2"/>
        <v>-2067312.4999999998</v>
      </c>
    </row>
    <row r="43" spans="1:9" x14ac:dyDescent="0.2">
      <c r="A43" s="31">
        <v>37500</v>
      </c>
      <c r="D43" s="210">
        <f>+'[3]NGI Socal'!$E18+$D$33</f>
        <v>6.6749999999999998</v>
      </c>
      <c r="F43" s="18">
        <f>27500*30</f>
        <v>825000</v>
      </c>
      <c r="H43">
        <f>+'[3]ELpaso SJ &amp; Prm'!$F28</f>
        <v>4.25</v>
      </c>
      <c r="I43" s="260">
        <f t="shared" si="2"/>
        <v>-2000624.9999999998</v>
      </c>
    </row>
    <row r="44" spans="1:9" x14ac:dyDescent="0.2">
      <c r="A44" s="31">
        <v>37530</v>
      </c>
      <c r="D44" s="210">
        <f>+'[3]NGI Socal'!$E19+$D$33</f>
        <v>6.06</v>
      </c>
      <c r="F44" s="18">
        <f>27500*31</f>
        <v>852500</v>
      </c>
      <c r="H44">
        <f>+'[3]ELpaso SJ &amp; Prm'!$F29</f>
        <v>4.2649999999999997</v>
      </c>
      <c r="I44" s="260">
        <f t="shared" si="2"/>
        <v>-1530237.5</v>
      </c>
    </row>
    <row r="45" spans="1:9" x14ac:dyDescent="0.2">
      <c r="A45" s="31">
        <v>37561</v>
      </c>
      <c r="D45" s="210">
        <f>+'[3]NGI Socal'!$E20+$D$33</f>
        <v>5.88</v>
      </c>
      <c r="F45" s="18">
        <f>27500*30</f>
        <v>825000</v>
      </c>
      <c r="H45">
        <f>+'[3]ELpaso SJ &amp; Prm'!$F30</f>
        <v>4.3950000000000005</v>
      </c>
      <c r="I45" s="260">
        <f t="shared" si="2"/>
        <v>-1225124.9999999995</v>
      </c>
    </row>
    <row r="46" spans="1:9" x14ac:dyDescent="0.2">
      <c r="A46" s="31">
        <v>37591</v>
      </c>
      <c r="D46" s="210">
        <f>+'[3]NGI Socal'!$E21+$D$33</f>
        <v>5.9849999999999994</v>
      </c>
      <c r="F46" s="65">
        <f>27500*31</f>
        <v>852500</v>
      </c>
      <c r="H46">
        <f>+'[3]ELpaso SJ &amp; Prm'!$F31</f>
        <v>4.5</v>
      </c>
      <c r="I46" s="260">
        <f t="shared" si="2"/>
        <v>-1265962.4999999995</v>
      </c>
    </row>
    <row r="47" spans="1:9" x14ac:dyDescent="0.2">
      <c r="I47" s="260">
        <f>SUM(I35:I46)</f>
        <v>-19792025</v>
      </c>
    </row>
  </sheetData>
  <mergeCells count="1">
    <mergeCell ref="A4:K4"/>
  </mergeCell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2" workbookViewId="0">
      <selection activeCell="G21" sqref="G21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255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257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206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-0.15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37622</v>
      </c>
      <c r="B10" s="15"/>
      <c r="C10" s="16" t="s">
        <v>31</v>
      </c>
      <c r="D10" s="32">
        <f>+'[3]Henry Hub'!$E17+$D$9</f>
        <v>4.5649999999999995</v>
      </c>
      <c r="E10" s="15"/>
      <c r="F10" s="18">
        <f>-37500*31</f>
        <v>-1162500</v>
      </c>
      <c r="G10" s="18">
        <f>+F10/31</f>
        <v>-37500</v>
      </c>
      <c r="H10" s="32">
        <f>+'[3]ELpaso SJ &amp; Prm'!$F32</f>
        <v>4.54</v>
      </c>
      <c r="I10" s="17">
        <f>SUM(H10-D10)*F10</f>
        <v>29062.499999999382</v>
      </c>
      <c r="J10" s="41"/>
      <c r="K10" s="41">
        <f>+I10</f>
        <v>29062.499999999382</v>
      </c>
    </row>
    <row r="11" spans="1:12" x14ac:dyDescent="0.2">
      <c r="A11" s="31">
        <v>37653</v>
      </c>
      <c r="B11" s="15"/>
      <c r="C11" s="16" t="s">
        <v>31</v>
      </c>
      <c r="D11" s="32">
        <f>+'[3]Henry Hub'!$E18+$D$9</f>
        <v>4.4009999999999998</v>
      </c>
      <c r="E11" s="15"/>
      <c r="F11" s="18">
        <f>-37500*28</f>
        <v>-1050000</v>
      </c>
      <c r="G11" s="18">
        <f>+F11/28</f>
        <v>-37500</v>
      </c>
      <c r="H11" s="32">
        <f>+'[3]ELpaso SJ &amp; Prm'!$F33</f>
        <v>4.3760000000000003</v>
      </c>
      <c r="I11" s="17">
        <f t="shared" ref="I11:I21" si="0">SUM(H11-D11)*F11</f>
        <v>26249.99999999944</v>
      </c>
      <c r="J11" s="41"/>
      <c r="K11" s="41">
        <f t="shared" ref="K11:K21" si="1">+I11</f>
        <v>26249.99999999944</v>
      </c>
    </row>
    <row r="12" spans="1:12" x14ac:dyDescent="0.2">
      <c r="A12" s="31">
        <v>37681</v>
      </c>
      <c r="B12" s="15"/>
      <c r="C12" s="16" t="s">
        <v>31</v>
      </c>
      <c r="D12" s="32">
        <f>+'[3]Henry Hub'!$E19+$D$9</f>
        <v>4.1709999999999994</v>
      </c>
      <c r="E12" s="15"/>
      <c r="F12" s="18">
        <f>-37500*31</f>
        <v>-1162500</v>
      </c>
      <c r="G12" s="18">
        <f t="shared" ref="G12:G21" si="2">+F12/31</f>
        <v>-37500</v>
      </c>
      <c r="H12" s="32">
        <f>+'[3]ELpaso SJ &amp; Prm'!$F34</f>
        <v>4.1459999999999999</v>
      </c>
      <c r="I12" s="17">
        <f t="shared" si="0"/>
        <v>29062.499999999382</v>
      </c>
      <c r="J12" s="20"/>
      <c r="K12" s="41">
        <f t="shared" si="1"/>
        <v>29062.499999999382</v>
      </c>
      <c r="L12" s="20"/>
    </row>
    <row r="13" spans="1:12" x14ac:dyDescent="0.2">
      <c r="A13" s="31">
        <v>37712</v>
      </c>
      <c r="B13" s="15"/>
      <c r="C13" s="16" t="s">
        <v>31</v>
      </c>
      <c r="D13" s="32">
        <f>+'[3]Henry Hub'!$E20+$D$9</f>
        <v>3.9410000000000003</v>
      </c>
      <c r="E13" s="15"/>
      <c r="F13" s="18">
        <f>-37500*30</f>
        <v>-1125000</v>
      </c>
      <c r="G13" s="18">
        <f>+F13/30</f>
        <v>-37500</v>
      </c>
      <c r="H13" s="32">
        <f>+'[3]ELpaso SJ &amp; Prm'!$F35</f>
        <v>3.9210000000000003</v>
      </c>
      <c r="I13" s="17">
        <f t="shared" si="0"/>
        <v>22500.000000000018</v>
      </c>
      <c r="J13" s="15"/>
      <c r="K13" s="41">
        <f t="shared" si="1"/>
        <v>22500.000000000018</v>
      </c>
    </row>
    <row r="14" spans="1:12" x14ac:dyDescent="0.2">
      <c r="A14" s="31">
        <v>37742</v>
      </c>
      <c r="B14" s="15"/>
      <c r="C14" s="16" t="s">
        <v>31</v>
      </c>
      <c r="D14" s="32">
        <f>+'[3]Henry Hub'!$E21+$D$9</f>
        <v>3.9070000000000005</v>
      </c>
      <c r="E14" s="15"/>
      <c r="F14" s="18">
        <f>-37500*31</f>
        <v>-1162500</v>
      </c>
      <c r="G14" s="18">
        <f t="shared" si="2"/>
        <v>-37500</v>
      </c>
      <c r="H14" s="32">
        <f>+'[3]ELpaso SJ &amp; Prm'!$F36</f>
        <v>3.8870000000000005</v>
      </c>
      <c r="I14" s="17">
        <f t="shared" si="0"/>
        <v>23250.000000000022</v>
      </c>
      <c r="J14" s="15"/>
      <c r="K14" s="41">
        <f t="shared" si="1"/>
        <v>23250.000000000022</v>
      </c>
    </row>
    <row r="15" spans="1:12" x14ac:dyDescent="0.2">
      <c r="A15" s="31">
        <v>37773</v>
      </c>
      <c r="B15" s="15"/>
      <c r="C15" s="16" t="s">
        <v>31</v>
      </c>
      <c r="D15" s="32">
        <f>+'[3]Henry Hub'!$E22+$D$9</f>
        <v>3.9319999999999999</v>
      </c>
      <c r="E15" s="15"/>
      <c r="F15" s="18">
        <f>-37500*30</f>
        <v>-1125000</v>
      </c>
      <c r="G15" s="18">
        <f>+F15/30</f>
        <v>-37500</v>
      </c>
      <c r="H15" s="32">
        <f>+'[3]ELpaso SJ &amp; Prm'!$F37</f>
        <v>3.9119999999999999</v>
      </c>
      <c r="I15" s="17">
        <f t="shared" si="0"/>
        <v>22500.000000000018</v>
      </c>
      <c r="J15" s="15"/>
      <c r="K15" s="41">
        <f t="shared" si="1"/>
        <v>22500.000000000018</v>
      </c>
    </row>
    <row r="16" spans="1:12" x14ac:dyDescent="0.2">
      <c r="A16" s="31">
        <v>37803</v>
      </c>
      <c r="B16" s="15"/>
      <c r="C16" s="16" t="s">
        <v>31</v>
      </c>
      <c r="D16" s="32">
        <f>+'[3]Henry Hub'!$E23+$D$9</f>
        <v>3.9529999999999998</v>
      </c>
      <c r="E16" s="15"/>
      <c r="F16" s="18">
        <f>-37500*31</f>
        <v>-1162500</v>
      </c>
      <c r="G16" s="18">
        <f t="shared" si="2"/>
        <v>-37500</v>
      </c>
      <c r="H16" s="32">
        <f>+'[3]ELpaso SJ &amp; Prm'!$F38</f>
        <v>3.9329999999999998</v>
      </c>
      <c r="I16" s="17">
        <f t="shared" si="0"/>
        <v>23250.000000000022</v>
      </c>
      <c r="J16" s="15"/>
      <c r="K16" s="41">
        <f t="shared" si="1"/>
        <v>23250.000000000022</v>
      </c>
    </row>
    <row r="17" spans="1:11" x14ac:dyDescent="0.2">
      <c r="A17" s="31">
        <v>37834</v>
      </c>
      <c r="B17" s="15"/>
      <c r="C17" s="16" t="s">
        <v>31</v>
      </c>
      <c r="D17" s="32">
        <f>+'[3]Henry Hub'!$E24+$D$9</f>
        <v>3.9529999999999998</v>
      </c>
      <c r="E17" s="15"/>
      <c r="F17" s="18">
        <f>-37500*31</f>
        <v>-1162500</v>
      </c>
      <c r="G17" s="18">
        <f t="shared" si="2"/>
        <v>-37500</v>
      </c>
      <c r="H17" s="32">
        <f>+'[3]ELpaso SJ &amp; Prm'!$F39</f>
        <v>3.9329999999999998</v>
      </c>
      <c r="I17" s="17">
        <f t="shared" si="0"/>
        <v>23250.000000000022</v>
      </c>
      <c r="J17" s="15"/>
      <c r="K17" s="41">
        <f t="shared" si="1"/>
        <v>23250.000000000022</v>
      </c>
    </row>
    <row r="18" spans="1:11" x14ac:dyDescent="0.2">
      <c r="A18" s="31">
        <v>37865</v>
      </c>
      <c r="B18" s="15"/>
      <c r="C18" s="16" t="s">
        <v>31</v>
      </c>
      <c r="D18" s="32">
        <f>+'[3]Henry Hub'!$E25+$D$9</f>
        <v>3.9680000000000004</v>
      </c>
      <c r="E18" s="15"/>
      <c r="F18" s="18">
        <f>-37500*30</f>
        <v>-1125000</v>
      </c>
      <c r="G18" s="18">
        <f>+F18/30</f>
        <v>-37500</v>
      </c>
      <c r="H18" s="32">
        <f>+'[3]ELpaso SJ &amp; Prm'!$F40</f>
        <v>3.9480000000000004</v>
      </c>
      <c r="I18" s="17">
        <f t="shared" si="0"/>
        <v>22500.000000000018</v>
      </c>
      <c r="J18" s="15"/>
      <c r="K18" s="41">
        <f t="shared" si="1"/>
        <v>22500.000000000018</v>
      </c>
    </row>
    <row r="19" spans="1:11" x14ac:dyDescent="0.2">
      <c r="A19" s="31">
        <v>37895</v>
      </c>
      <c r="B19" s="15"/>
      <c r="C19" s="16" t="s">
        <v>31</v>
      </c>
      <c r="D19" s="32">
        <f>+'[3]Henry Hub'!$E26+$D$9</f>
        <v>3.9979999999999998</v>
      </c>
      <c r="E19" s="15"/>
      <c r="F19" s="18">
        <f>-37500*31</f>
        <v>-1162500</v>
      </c>
      <c r="G19" s="18">
        <f t="shared" si="2"/>
        <v>-37500</v>
      </c>
      <c r="H19" s="32">
        <f>+'[3]ELpaso SJ &amp; Prm'!$F41</f>
        <v>3.9779999999999998</v>
      </c>
      <c r="I19" s="17">
        <f t="shared" si="0"/>
        <v>23250.000000000022</v>
      </c>
      <c r="J19" s="15"/>
      <c r="K19" s="41">
        <f t="shared" si="1"/>
        <v>23250.000000000022</v>
      </c>
    </row>
    <row r="20" spans="1:11" x14ac:dyDescent="0.2">
      <c r="A20" s="31">
        <v>37926</v>
      </c>
      <c r="B20" s="15"/>
      <c r="C20" s="16" t="s">
        <v>31</v>
      </c>
      <c r="D20" s="32">
        <f>+'[3]Henry Hub'!$E27+$D$9</f>
        <v>4.1379999999999999</v>
      </c>
      <c r="E20" s="15"/>
      <c r="F20" s="18">
        <f>-37500*30</f>
        <v>-1125000</v>
      </c>
      <c r="G20" s="18">
        <f>+F20/30</f>
        <v>-37500</v>
      </c>
      <c r="H20" s="32">
        <f>+'[3]ELpaso SJ &amp; Prm'!$F42</f>
        <v>4.1130000000000004</v>
      </c>
      <c r="I20" s="17">
        <f t="shared" si="0"/>
        <v>28124.9999999994</v>
      </c>
      <c r="J20" s="15"/>
      <c r="K20" s="41">
        <f t="shared" si="1"/>
        <v>28124.9999999994</v>
      </c>
    </row>
    <row r="21" spans="1:11" x14ac:dyDescent="0.2">
      <c r="A21" s="31">
        <v>37956</v>
      </c>
      <c r="B21" s="15"/>
      <c r="C21" s="16" t="s">
        <v>31</v>
      </c>
      <c r="D21" s="32">
        <f>+'[3]Henry Hub'!$E28+$D$9</f>
        <v>4.2629999999999999</v>
      </c>
      <c r="E21" s="15"/>
      <c r="F21" s="65">
        <f>-37500*31</f>
        <v>-1162500</v>
      </c>
      <c r="G21" s="18">
        <f t="shared" si="2"/>
        <v>-37500</v>
      </c>
      <c r="H21" s="32">
        <f>+'[3]ELpaso SJ &amp; Prm'!$F43</f>
        <v>4.2380000000000004</v>
      </c>
      <c r="I21" s="66">
        <f t="shared" si="0"/>
        <v>29062.499999999382</v>
      </c>
      <c r="J21" s="66"/>
      <c r="K21" s="122">
        <f t="shared" si="1"/>
        <v>29062.499999999382</v>
      </c>
    </row>
    <row r="22" spans="1:11" x14ac:dyDescent="0.2">
      <c r="A22" s="31"/>
      <c r="B22" s="15"/>
      <c r="C22" s="16"/>
      <c r="D22" s="32">
        <f>SUM(D10:D21)/12</f>
        <v>4.0991666666666662</v>
      </c>
      <c r="E22" s="15"/>
      <c r="F22" s="18">
        <f>SUM(F10:F21)</f>
        <v>-13687500</v>
      </c>
      <c r="G22" s="15"/>
      <c r="H22" s="32">
        <f>SUM(H10:H21)/12</f>
        <v>4.0770833333333334</v>
      </c>
      <c r="I22" s="17">
        <f>SUM(I10:I21)</f>
        <v>302062.49999999715</v>
      </c>
      <c r="J22" s="17">
        <f>SUM(J10:J21)</f>
        <v>0</v>
      </c>
      <c r="K22" s="17">
        <f>SUM(K10:K21)</f>
        <v>302062.49999999715</v>
      </c>
    </row>
    <row r="23" spans="1:11" x14ac:dyDescent="0.2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-13687500</v>
      </c>
      <c r="G25" s="15"/>
      <c r="H25" s="32"/>
      <c r="I25" s="118">
        <f>+I22</f>
        <v>302062.49999999715</v>
      </c>
      <c r="J25" s="118">
        <f>+J22</f>
        <v>0</v>
      </c>
      <c r="K25" s="118">
        <f>+K22</f>
        <v>302062.49999999715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5" workbookViewId="0">
      <selection activeCell="A7"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258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160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1.03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37622</v>
      </c>
      <c r="B10" s="15"/>
      <c r="C10" s="16" t="s">
        <v>31</v>
      </c>
      <c r="D10" s="32">
        <f>+'[3]Henry Hub'!$E17+$D$9</f>
        <v>5.7450000000000001</v>
      </c>
      <c r="E10" s="15"/>
      <c r="F10" s="18">
        <f>37500*31</f>
        <v>1162500</v>
      </c>
      <c r="G10" s="18">
        <f>+F10/31</f>
        <v>37500</v>
      </c>
      <c r="H10" s="32">
        <f>+'[3]NGI Socal'!$E22</f>
        <v>6.0749999999999993</v>
      </c>
      <c r="I10" s="17">
        <f>SUM(-D10+H10)*F10</f>
        <v>383624.99999999907</v>
      </c>
      <c r="J10" s="41"/>
      <c r="K10" s="41">
        <f>+I10</f>
        <v>383624.99999999907</v>
      </c>
    </row>
    <row r="11" spans="1:12" x14ac:dyDescent="0.2">
      <c r="A11" s="31">
        <v>37653</v>
      </c>
      <c r="B11" s="15"/>
      <c r="C11" s="16" t="s">
        <v>31</v>
      </c>
      <c r="D11" s="32">
        <f>+'[3]Henry Hub'!$E18+$D$9</f>
        <v>5.5810000000000004</v>
      </c>
      <c r="E11" s="15"/>
      <c r="F11" s="18">
        <f>37500*28</f>
        <v>1050000</v>
      </c>
      <c r="G11" s="18">
        <f>+F11/28</f>
        <v>37500</v>
      </c>
      <c r="H11" s="32">
        <f>+'[3]NGI Socal'!$E23</f>
        <v>5.9109999999999996</v>
      </c>
      <c r="I11" s="17">
        <f t="shared" ref="I11:I21" si="0">SUM(-D11+H11)*F11</f>
        <v>346499.99999999913</v>
      </c>
      <c r="J11" s="41"/>
      <c r="K11" s="41">
        <f t="shared" ref="K11:K21" si="1">+I11</f>
        <v>346499.99999999913</v>
      </c>
    </row>
    <row r="12" spans="1:12" x14ac:dyDescent="0.2">
      <c r="A12" s="31">
        <v>37681</v>
      </c>
      <c r="B12" s="15"/>
      <c r="C12" s="16" t="s">
        <v>31</v>
      </c>
      <c r="D12" s="32">
        <f>+'[3]Henry Hub'!$E19+$D$9</f>
        <v>5.351</v>
      </c>
      <c r="E12" s="15"/>
      <c r="F12" s="18">
        <f t="shared" ref="F12:F21" si="2">37500*31</f>
        <v>1162500</v>
      </c>
      <c r="G12" s="18">
        <f t="shared" ref="G12:G21" si="3">+F12/31</f>
        <v>37500</v>
      </c>
      <c r="H12" s="32">
        <f>+'[3]NGI Socal'!$E24</f>
        <v>5.6809999999999992</v>
      </c>
      <c r="I12" s="17">
        <f t="shared" si="0"/>
        <v>383624.99999999907</v>
      </c>
      <c r="J12" s="20"/>
      <c r="K12" s="41">
        <f t="shared" si="1"/>
        <v>383624.99999999907</v>
      </c>
      <c r="L12" s="20"/>
    </row>
    <row r="13" spans="1:12" x14ac:dyDescent="0.2">
      <c r="A13" s="31">
        <v>37712</v>
      </c>
      <c r="B13" s="15"/>
      <c r="C13" s="16" t="s">
        <v>31</v>
      </c>
      <c r="D13" s="32">
        <f>+'[3]Henry Hub'!$E20+$D$9</f>
        <v>5.1210000000000004</v>
      </c>
      <c r="E13" s="15"/>
      <c r="F13" s="18">
        <f>37500*30</f>
        <v>1125000</v>
      </c>
      <c r="G13" s="18">
        <f>+F13/30</f>
        <v>37500</v>
      </c>
      <c r="H13" s="32">
        <f>+'[3]NGI Socal'!$E25</f>
        <v>5.5659999999999998</v>
      </c>
      <c r="I13" s="17">
        <f t="shared" si="0"/>
        <v>500624.9999999993</v>
      </c>
      <c r="J13" s="15"/>
      <c r="K13" s="41">
        <f t="shared" si="1"/>
        <v>500624.9999999993</v>
      </c>
    </row>
    <row r="14" spans="1:12" x14ac:dyDescent="0.2">
      <c r="A14" s="31">
        <v>37742</v>
      </c>
      <c r="B14" s="15"/>
      <c r="C14" s="16" t="s">
        <v>31</v>
      </c>
      <c r="D14" s="32">
        <f>+'[3]Henry Hub'!$E21+$D$9</f>
        <v>5.0870000000000006</v>
      </c>
      <c r="E14" s="15"/>
      <c r="F14" s="18">
        <f t="shared" si="2"/>
        <v>1162500</v>
      </c>
      <c r="G14" s="18">
        <f t="shared" si="3"/>
        <v>37500</v>
      </c>
      <c r="H14" s="32">
        <f>+'[3]NGI Socal'!$E26</f>
        <v>5.532</v>
      </c>
      <c r="I14" s="17">
        <f t="shared" si="0"/>
        <v>517312.4999999993</v>
      </c>
      <c r="J14" s="15"/>
      <c r="K14" s="41">
        <f t="shared" si="1"/>
        <v>517312.4999999993</v>
      </c>
    </row>
    <row r="15" spans="1:12" x14ac:dyDescent="0.2">
      <c r="A15" s="31">
        <v>37773</v>
      </c>
      <c r="B15" s="15"/>
      <c r="C15" s="16" t="s">
        <v>31</v>
      </c>
      <c r="D15" s="32">
        <f>+'[3]Henry Hub'!$E22+$D$9</f>
        <v>5.1120000000000001</v>
      </c>
      <c r="E15" s="15"/>
      <c r="F15" s="18">
        <f>37500*30</f>
        <v>1125000</v>
      </c>
      <c r="G15" s="18">
        <f>+F15/30</f>
        <v>37500</v>
      </c>
      <c r="H15" s="32">
        <f>+'[3]NGI Socal'!$E27</f>
        <v>5.5569999999999995</v>
      </c>
      <c r="I15" s="17">
        <f t="shared" si="0"/>
        <v>500624.9999999993</v>
      </c>
      <c r="J15" s="15"/>
      <c r="K15" s="41">
        <f t="shared" si="1"/>
        <v>500624.9999999993</v>
      </c>
    </row>
    <row r="16" spans="1:12" x14ac:dyDescent="0.2">
      <c r="A16" s="31">
        <v>37803</v>
      </c>
      <c r="B16" s="15"/>
      <c r="C16" s="16" t="s">
        <v>31</v>
      </c>
      <c r="D16" s="32">
        <f>+'[3]Henry Hub'!$E23+$D$9</f>
        <v>5.133</v>
      </c>
      <c r="E16" s="15"/>
      <c r="F16" s="18">
        <f t="shared" si="2"/>
        <v>1162500</v>
      </c>
      <c r="G16" s="18">
        <f t="shared" si="3"/>
        <v>37500</v>
      </c>
      <c r="H16" s="32">
        <f>+'[3]NGI Socal'!$E28</f>
        <v>5.5779999999999994</v>
      </c>
      <c r="I16" s="17">
        <f t="shared" si="0"/>
        <v>517312.4999999993</v>
      </c>
      <c r="J16" s="15"/>
      <c r="K16" s="41">
        <f t="shared" si="1"/>
        <v>517312.4999999993</v>
      </c>
    </row>
    <row r="17" spans="1:11" x14ac:dyDescent="0.2">
      <c r="A17" s="31">
        <v>37834</v>
      </c>
      <c r="B17" s="15"/>
      <c r="C17" s="16" t="s">
        <v>31</v>
      </c>
      <c r="D17" s="32">
        <f>+'[3]Henry Hub'!$E24+$D$9</f>
        <v>5.133</v>
      </c>
      <c r="E17" s="15"/>
      <c r="F17" s="18">
        <f t="shared" si="2"/>
        <v>1162500</v>
      </c>
      <c r="G17" s="18">
        <f t="shared" si="3"/>
        <v>37500</v>
      </c>
      <c r="H17" s="32">
        <f>+'[3]NGI Socal'!$E29</f>
        <v>5.5779999999999994</v>
      </c>
      <c r="I17" s="17">
        <f t="shared" si="0"/>
        <v>517312.4999999993</v>
      </c>
      <c r="J17" s="15"/>
      <c r="K17" s="41">
        <f t="shared" si="1"/>
        <v>517312.4999999993</v>
      </c>
    </row>
    <row r="18" spans="1:11" x14ac:dyDescent="0.2">
      <c r="A18" s="31">
        <v>37865</v>
      </c>
      <c r="B18" s="15"/>
      <c r="C18" s="16" t="s">
        <v>31</v>
      </c>
      <c r="D18" s="32">
        <f>+'[3]Henry Hub'!$E25+$D$9</f>
        <v>5.1480000000000006</v>
      </c>
      <c r="E18" s="15"/>
      <c r="F18" s="18">
        <f>37500*30</f>
        <v>1125000</v>
      </c>
      <c r="G18" s="18">
        <f>+F18/30</f>
        <v>37500</v>
      </c>
      <c r="H18" s="32">
        <f>+'[3]NGI Socal'!$E30</f>
        <v>5.593</v>
      </c>
      <c r="I18" s="17">
        <f t="shared" si="0"/>
        <v>500624.9999999993</v>
      </c>
      <c r="J18" s="15"/>
      <c r="K18" s="41">
        <f t="shared" si="1"/>
        <v>500624.9999999993</v>
      </c>
    </row>
    <row r="19" spans="1:11" x14ac:dyDescent="0.2">
      <c r="A19" s="31">
        <v>37895</v>
      </c>
      <c r="B19" s="15"/>
      <c r="C19" s="16" t="s">
        <v>31</v>
      </c>
      <c r="D19" s="32">
        <f>+'[3]Henry Hub'!$E26+$D$9</f>
        <v>5.1779999999999999</v>
      </c>
      <c r="E19" s="15"/>
      <c r="F19" s="18">
        <f t="shared" si="2"/>
        <v>1162500</v>
      </c>
      <c r="G19" s="18">
        <f t="shared" si="3"/>
        <v>37500</v>
      </c>
      <c r="H19" s="32">
        <f>+'[3]NGI Socal'!$E31</f>
        <v>5.6229999999999993</v>
      </c>
      <c r="I19" s="17">
        <f t="shared" si="0"/>
        <v>517312.4999999993</v>
      </c>
      <c r="J19" s="15"/>
      <c r="K19" s="41">
        <f t="shared" si="1"/>
        <v>517312.4999999993</v>
      </c>
    </row>
    <row r="20" spans="1:11" x14ac:dyDescent="0.2">
      <c r="A20" s="31">
        <v>37926</v>
      </c>
      <c r="B20" s="15"/>
      <c r="C20" s="16" t="s">
        <v>31</v>
      </c>
      <c r="D20" s="32">
        <f>+'[3]Henry Hub'!$E27+$D$9</f>
        <v>5.3180000000000005</v>
      </c>
      <c r="E20" s="15"/>
      <c r="F20" s="18">
        <f>37500*30</f>
        <v>1125000</v>
      </c>
      <c r="G20" s="18">
        <f>+F20/30</f>
        <v>37500</v>
      </c>
      <c r="H20" s="32">
        <f>+'[3]NGI Socal'!$E32</f>
        <v>4.9690000000000003</v>
      </c>
      <c r="I20" s="17">
        <f t="shared" si="0"/>
        <v>-392625.00000000023</v>
      </c>
      <c r="J20" s="15"/>
      <c r="K20" s="41">
        <f t="shared" si="1"/>
        <v>-392625.00000000023</v>
      </c>
    </row>
    <row r="21" spans="1:11" x14ac:dyDescent="0.2">
      <c r="A21" s="31">
        <v>37956</v>
      </c>
      <c r="B21" s="15"/>
      <c r="C21" s="16" t="s">
        <v>31</v>
      </c>
      <c r="D21" s="169">
        <f>+'[3]Henry Hub'!$E28+$D$9</f>
        <v>5.4430000000000005</v>
      </c>
      <c r="E21" s="15"/>
      <c r="F21" s="65">
        <f t="shared" si="2"/>
        <v>1162500</v>
      </c>
      <c r="G21" s="18">
        <f t="shared" si="3"/>
        <v>37500</v>
      </c>
      <c r="H21" s="169">
        <f>+'[3]NGI Socal'!$E33</f>
        <v>5.0940000000000003</v>
      </c>
      <c r="I21" s="66">
        <f t="shared" si="0"/>
        <v>-405712.50000000023</v>
      </c>
      <c r="J21" s="66"/>
      <c r="K21" s="122">
        <f t="shared" si="1"/>
        <v>-405712.50000000023</v>
      </c>
    </row>
    <row r="22" spans="1:11" x14ac:dyDescent="0.2">
      <c r="A22" s="31"/>
      <c r="B22" s="15"/>
      <c r="C22" s="16"/>
      <c r="D22" s="32">
        <f>SUM(D10:D21)/12</f>
        <v>5.2791666666666668</v>
      </c>
      <c r="E22" s="15"/>
      <c r="F22" s="18">
        <f>SUM(F10:F21)</f>
        <v>13687500</v>
      </c>
      <c r="G22" s="15"/>
      <c r="H22" s="32">
        <f>SUM(H10:H21)/12</f>
        <v>5.5630833333333323</v>
      </c>
      <c r="I22" s="17">
        <f>SUM(I10:I21)</f>
        <v>3886537.4999999916</v>
      </c>
      <c r="J22" s="17">
        <f>SUM(J10:J21)</f>
        <v>0</v>
      </c>
      <c r="K22" s="17">
        <f>SUM(K10:K21)</f>
        <v>3886537.4999999916</v>
      </c>
    </row>
    <row r="23" spans="1:11" x14ac:dyDescent="0.2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13687500</v>
      </c>
      <c r="G25" s="15"/>
      <c r="H25" s="32"/>
      <c r="I25" s="118">
        <f>+I22</f>
        <v>3886537.4999999916</v>
      </c>
      <c r="J25" s="118">
        <f>+J22</f>
        <v>0</v>
      </c>
      <c r="K25" s="118">
        <f>+K22</f>
        <v>3886537.4999999916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C1" workbookViewId="0">
      <selection activeCell="D21" sqref="D21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264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266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/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-0.14000000000000001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37622</v>
      </c>
      <c r="B10" s="15"/>
      <c r="C10" s="16" t="s">
        <v>31</v>
      </c>
      <c r="D10" s="32">
        <f>+'[3]Henry Hub'!$E17+$D$9</f>
        <v>4.5750000000000002</v>
      </c>
      <c r="E10" s="15"/>
      <c r="F10" s="18">
        <f>-11500*31</f>
        <v>-356500</v>
      </c>
      <c r="G10" s="18">
        <f>+F10/31</f>
        <v>-11500</v>
      </c>
      <c r="H10" s="32">
        <f>+'[3]ELpaso SJ &amp; Prm'!$F32</f>
        <v>4.54</v>
      </c>
      <c r="I10" s="17">
        <f>SUM(-D10+H10)*F10</f>
        <v>12477.500000000051</v>
      </c>
      <c r="J10" s="41"/>
      <c r="K10" s="41">
        <f>+I10</f>
        <v>12477.500000000051</v>
      </c>
    </row>
    <row r="11" spans="1:12" x14ac:dyDescent="0.2">
      <c r="A11" s="31">
        <v>37653</v>
      </c>
      <c r="B11" s="15"/>
      <c r="C11" s="16" t="s">
        <v>31</v>
      </c>
      <c r="D11" s="32">
        <f>+'[3]Henry Hub'!$E18+$D$9</f>
        <v>4.4110000000000005</v>
      </c>
      <c r="E11" s="15"/>
      <c r="F11" s="18">
        <f>-11500*28</f>
        <v>-322000</v>
      </c>
      <c r="G11" s="18">
        <f>+F11/28</f>
        <v>-11500</v>
      </c>
      <c r="H11" s="32">
        <f>+'[3]ELpaso SJ &amp; Prm'!$F33</f>
        <v>4.3760000000000003</v>
      </c>
      <c r="I11" s="17">
        <f t="shared" ref="I11:I21" si="0">SUM(-D11+H11)*F11</f>
        <v>11270.000000000045</v>
      </c>
      <c r="J11" s="41"/>
      <c r="K11" s="41">
        <f t="shared" ref="K11:K21" si="1">+I11</f>
        <v>11270.000000000045</v>
      </c>
    </row>
    <row r="12" spans="1:12" x14ac:dyDescent="0.2">
      <c r="A12" s="31">
        <v>37681</v>
      </c>
      <c r="B12" s="15"/>
      <c r="C12" s="16" t="s">
        <v>31</v>
      </c>
      <c r="D12" s="32">
        <f>+'[3]Henry Hub'!$E19+$D$9</f>
        <v>4.181</v>
      </c>
      <c r="E12" s="15"/>
      <c r="F12" s="18">
        <f>-11500*31</f>
        <v>-356500</v>
      </c>
      <c r="G12" s="18">
        <f t="shared" ref="G12:G21" si="2">+F12/31</f>
        <v>-11500</v>
      </c>
      <c r="H12" s="32">
        <f>+'[3]ELpaso SJ &amp; Prm'!$F34</f>
        <v>4.1459999999999999</v>
      </c>
      <c r="I12" s="17">
        <f t="shared" si="0"/>
        <v>12477.500000000051</v>
      </c>
      <c r="J12" s="20"/>
      <c r="K12" s="41">
        <f t="shared" si="1"/>
        <v>12477.500000000051</v>
      </c>
      <c r="L12" s="20"/>
    </row>
    <row r="13" spans="1:12" x14ac:dyDescent="0.2">
      <c r="A13" s="31">
        <v>37712</v>
      </c>
      <c r="B13" s="15"/>
      <c r="C13" s="16" t="s">
        <v>31</v>
      </c>
      <c r="D13" s="32">
        <f>+'[3]Henry Hub'!$E20+$D$9</f>
        <v>3.9510000000000001</v>
      </c>
      <c r="E13" s="15"/>
      <c r="F13" s="18">
        <f>-11500*30</f>
        <v>-345000</v>
      </c>
      <c r="G13" s="18">
        <f>+F13/30</f>
        <v>-11500</v>
      </c>
      <c r="H13" s="32">
        <f>+'[3]ELpaso SJ &amp; Prm'!$F35</f>
        <v>3.9210000000000003</v>
      </c>
      <c r="I13" s="17">
        <f t="shared" si="0"/>
        <v>10349.999999999933</v>
      </c>
      <c r="J13" s="15"/>
      <c r="K13" s="41">
        <f t="shared" si="1"/>
        <v>10349.999999999933</v>
      </c>
    </row>
    <row r="14" spans="1:12" x14ac:dyDescent="0.2">
      <c r="A14" s="31">
        <v>37742</v>
      </c>
      <c r="B14" s="15"/>
      <c r="C14" s="16" t="s">
        <v>31</v>
      </c>
      <c r="D14" s="32">
        <f>+'[3]Henry Hub'!$E21+$D$9</f>
        <v>3.9170000000000003</v>
      </c>
      <c r="E14" s="15"/>
      <c r="F14" s="18">
        <f>-11500*31</f>
        <v>-356500</v>
      </c>
      <c r="G14" s="18">
        <f t="shared" si="2"/>
        <v>-11500</v>
      </c>
      <c r="H14" s="32">
        <f>+'[3]ELpaso SJ &amp; Prm'!$F36</f>
        <v>3.8870000000000005</v>
      </c>
      <c r="I14" s="17">
        <f t="shared" si="0"/>
        <v>10694.999999999931</v>
      </c>
      <c r="J14" s="15"/>
      <c r="K14" s="41">
        <f t="shared" si="1"/>
        <v>10694.999999999931</v>
      </c>
    </row>
    <row r="15" spans="1:12" x14ac:dyDescent="0.2">
      <c r="A15" s="31">
        <v>37773</v>
      </c>
      <c r="B15" s="15"/>
      <c r="C15" s="16" t="s">
        <v>31</v>
      </c>
      <c r="D15" s="32">
        <f>+'[3]Henry Hub'!$E22+$D$9</f>
        <v>3.9419999999999997</v>
      </c>
      <c r="E15" s="15"/>
      <c r="F15" s="18">
        <f>-11500*30</f>
        <v>-345000</v>
      </c>
      <c r="G15" s="18">
        <f>+F15/30</f>
        <v>-11500</v>
      </c>
      <c r="H15" s="32">
        <f>+'[3]ELpaso SJ &amp; Prm'!$F37</f>
        <v>3.9119999999999999</v>
      </c>
      <c r="I15" s="17">
        <f t="shared" si="0"/>
        <v>10349.999999999933</v>
      </c>
      <c r="J15" s="15"/>
      <c r="K15" s="41">
        <f t="shared" si="1"/>
        <v>10349.999999999933</v>
      </c>
    </row>
    <row r="16" spans="1:12" x14ac:dyDescent="0.2">
      <c r="A16" s="31">
        <v>37803</v>
      </c>
      <c r="B16" s="15"/>
      <c r="C16" s="16" t="s">
        <v>31</v>
      </c>
      <c r="D16" s="32">
        <f>+'[3]Henry Hub'!$E23+$D$9</f>
        <v>3.9629999999999996</v>
      </c>
      <c r="E16" s="15"/>
      <c r="F16" s="18">
        <f>-11500*31</f>
        <v>-356500</v>
      </c>
      <c r="G16" s="18">
        <f t="shared" si="2"/>
        <v>-11500</v>
      </c>
      <c r="H16" s="32">
        <f>+'[3]ELpaso SJ &amp; Prm'!$F38</f>
        <v>3.9329999999999998</v>
      </c>
      <c r="I16" s="17">
        <f t="shared" si="0"/>
        <v>10694.999999999931</v>
      </c>
      <c r="J16" s="15"/>
      <c r="K16" s="41">
        <f t="shared" si="1"/>
        <v>10694.999999999931</v>
      </c>
    </row>
    <row r="17" spans="1:11" x14ac:dyDescent="0.2">
      <c r="A17" s="31">
        <v>37834</v>
      </c>
      <c r="B17" s="15"/>
      <c r="C17" s="16" t="s">
        <v>31</v>
      </c>
      <c r="D17" s="32">
        <f>+'[3]Henry Hub'!$E24+$D$9</f>
        <v>3.9629999999999996</v>
      </c>
      <c r="E17" s="15"/>
      <c r="F17" s="18">
        <f>-11500*31</f>
        <v>-356500</v>
      </c>
      <c r="G17" s="18">
        <f t="shared" si="2"/>
        <v>-11500</v>
      </c>
      <c r="H17" s="32">
        <f>+'[3]ELpaso SJ &amp; Prm'!$F39</f>
        <v>3.9329999999999998</v>
      </c>
      <c r="I17" s="17">
        <f t="shared" si="0"/>
        <v>10694.999999999931</v>
      </c>
      <c r="J17" s="15"/>
      <c r="K17" s="41">
        <f t="shared" si="1"/>
        <v>10694.999999999931</v>
      </c>
    </row>
    <row r="18" spans="1:11" x14ac:dyDescent="0.2">
      <c r="A18" s="31">
        <v>37865</v>
      </c>
      <c r="B18" s="15"/>
      <c r="C18" s="16" t="s">
        <v>31</v>
      </c>
      <c r="D18" s="32">
        <f>+'[3]Henry Hub'!$E25+$D$9</f>
        <v>3.9780000000000002</v>
      </c>
      <c r="E18" s="15"/>
      <c r="F18" s="18">
        <f>-11500*30</f>
        <v>-345000</v>
      </c>
      <c r="G18" s="18">
        <f>+F18/30</f>
        <v>-11500</v>
      </c>
      <c r="H18" s="32">
        <f>+'[3]ELpaso SJ &amp; Prm'!$F40</f>
        <v>3.9480000000000004</v>
      </c>
      <c r="I18" s="17">
        <f t="shared" si="0"/>
        <v>10349.999999999933</v>
      </c>
      <c r="J18" s="15"/>
      <c r="K18" s="41">
        <f t="shared" si="1"/>
        <v>10349.999999999933</v>
      </c>
    </row>
    <row r="19" spans="1:11" x14ac:dyDescent="0.2">
      <c r="A19" s="31">
        <v>37895</v>
      </c>
      <c r="B19" s="15"/>
      <c r="C19" s="16" t="s">
        <v>31</v>
      </c>
      <c r="D19" s="32">
        <f>+'[3]Henry Hub'!$E26+$D$9</f>
        <v>4.008</v>
      </c>
      <c r="E19" s="15"/>
      <c r="F19" s="18">
        <f>-11500*31</f>
        <v>-356500</v>
      </c>
      <c r="G19" s="18">
        <f t="shared" si="2"/>
        <v>-11500</v>
      </c>
      <c r="H19" s="32">
        <f>+'[3]ELpaso SJ &amp; Prm'!$F41</f>
        <v>3.9779999999999998</v>
      </c>
      <c r="I19" s="17">
        <f t="shared" si="0"/>
        <v>10695.000000000089</v>
      </c>
      <c r="J19" s="15"/>
      <c r="K19" s="41">
        <f t="shared" si="1"/>
        <v>10695.000000000089</v>
      </c>
    </row>
    <row r="20" spans="1:11" x14ac:dyDescent="0.2">
      <c r="A20" s="31">
        <v>37926</v>
      </c>
      <c r="B20" s="15"/>
      <c r="C20" s="16" t="s">
        <v>31</v>
      </c>
      <c r="D20" s="32">
        <f>+'[3]Henry Hub'!$E27+$D$9</f>
        <v>4.1480000000000006</v>
      </c>
      <c r="E20" s="15"/>
      <c r="F20" s="18">
        <f>-11500*30</f>
        <v>-345000</v>
      </c>
      <c r="G20" s="18">
        <f>+F20/30</f>
        <v>-11500</v>
      </c>
      <c r="H20" s="32">
        <f>+'[3]ELpaso SJ &amp; Prm'!$F42</f>
        <v>4.1130000000000004</v>
      </c>
      <c r="I20" s="17">
        <f t="shared" si="0"/>
        <v>12075.000000000049</v>
      </c>
      <c r="J20" s="15"/>
      <c r="K20" s="41">
        <f t="shared" si="1"/>
        <v>12075.000000000049</v>
      </c>
    </row>
    <row r="21" spans="1:11" x14ac:dyDescent="0.2">
      <c r="A21" s="31">
        <v>37956</v>
      </c>
      <c r="B21" s="15"/>
      <c r="C21" s="16" t="s">
        <v>31</v>
      </c>
      <c r="D21" s="169">
        <f>+'[3]Henry Hub'!$E28+$D$9</f>
        <v>4.2730000000000006</v>
      </c>
      <c r="E21" s="15"/>
      <c r="F21" s="65">
        <f>-11500*31</f>
        <v>-356500</v>
      </c>
      <c r="G21" s="18">
        <f t="shared" si="2"/>
        <v>-11500</v>
      </c>
      <c r="H21" s="32">
        <f>+'[3]ELpaso SJ &amp; Prm'!$F43</f>
        <v>4.2380000000000004</v>
      </c>
      <c r="I21" s="66">
        <f t="shared" si="0"/>
        <v>12477.500000000051</v>
      </c>
      <c r="J21" s="66"/>
      <c r="K21" s="122">
        <f t="shared" si="1"/>
        <v>12477.500000000051</v>
      </c>
    </row>
    <row r="22" spans="1:11" x14ac:dyDescent="0.2">
      <c r="A22" s="31"/>
      <c r="B22" s="15"/>
      <c r="C22" s="16"/>
      <c r="D22" s="32">
        <f>SUM(D10:D21)/12</f>
        <v>4.1091666666666677</v>
      </c>
      <c r="E22" s="15"/>
      <c r="F22" s="18">
        <f>SUM(F10:F21)</f>
        <v>-4197500</v>
      </c>
      <c r="G22" s="15"/>
      <c r="H22" s="32">
        <f>SUM(H10:H21)/12</f>
        <v>4.0770833333333334</v>
      </c>
      <c r="I22" s="17">
        <f>SUM(I10:I21)</f>
        <v>134607.49999999991</v>
      </c>
      <c r="J22" s="17">
        <f>SUM(J10:J21)</f>
        <v>0</v>
      </c>
      <c r="K22" s="17">
        <f>SUM(K10:K21)</f>
        <v>134607.49999999991</v>
      </c>
    </row>
    <row r="23" spans="1:11" x14ac:dyDescent="0.2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-4197500</v>
      </c>
      <c r="G25" s="15"/>
      <c r="H25" s="32"/>
      <c r="I25" s="118">
        <f>+I22</f>
        <v>134607.49999999991</v>
      </c>
      <c r="J25" s="118">
        <f>+J22</f>
        <v>0</v>
      </c>
      <c r="K25" s="118">
        <f>+K22</f>
        <v>134607.49999999991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activeCell="B9" sqref="B9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265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31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1.1599999999999999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37622</v>
      </c>
      <c r="B10" s="15"/>
      <c r="C10" s="16" t="s">
        <v>31</v>
      </c>
      <c r="D10" s="32">
        <f>+'[3]Henry Hub'!$E17+$D$9</f>
        <v>5.875</v>
      </c>
      <c r="E10" s="15"/>
      <c r="F10" s="18">
        <f>11500*31</f>
        <v>356500</v>
      </c>
      <c r="G10" s="18">
        <f>+F10/31</f>
        <v>11500</v>
      </c>
      <c r="H10" s="32">
        <f>+'[3]NGI Socal'!$E22</f>
        <v>6.0749999999999993</v>
      </c>
      <c r="I10" s="17">
        <f>SUM(-D10+H10)*F10</f>
        <v>71299.999999999753</v>
      </c>
      <c r="J10" s="41"/>
      <c r="K10" s="41">
        <f>+I10</f>
        <v>71299.999999999753</v>
      </c>
    </row>
    <row r="11" spans="1:12" x14ac:dyDescent="0.2">
      <c r="A11" s="31">
        <v>37653</v>
      </c>
      <c r="B11" s="15"/>
      <c r="C11" s="16" t="s">
        <v>31</v>
      </c>
      <c r="D11" s="32">
        <f>+'[3]Henry Hub'!$E18+$D$9</f>
        <v>5.7110000000000003</v>
      </c>
      <c r="E11" s="15"/>
      <c r="F11" s="18">
        <f>11500*28</f>
        <v>322000</v>
      </c>
      <c r="G11" s="18">
        <f>+F11/28</f>
        <v>11500</v>
      </c>
      <c r="H11" s="32">
        <f>+'[3]NGI Socal'!$E23</f>
        <v>5.9109999999999996</v>
      </c>
      <c r="I11" s="17">
        <f t="shared" ref="I11:I21" si="0">SUM(-D11+H11)*F11</f>
        <v>64399.999999999774</v>
      </c>
      <c r="J11" s="41"/>
      <c r="K11" s="41">
        <f t="shared" ref="K11:K21" si="1">+I11</f>
        <v>64399.999999999774</v>
      </c>
    </row>
    <row r="12" spans="1:12" x14ac:dyDescent="0.2">
      <c r="A12" s="31">
        <v>37681</v>
      </c>
      <c r="B12" s="15"/>
      <c r="C12" s="16" t="s">
        <v>31</v>
      </c>
      <c r="D12" s="32">
        <f>+'[3]Henry Hub'!$E19+$D$9</f>
        <v>5.4809999999999999</v>
      </c>
      <c r="E12" s="15"/>
      <c r="F12" s="18">
        <f>11500*31</f>
        <v>356500</v>
      </c>
      <c r="G12" s="18">
        <f t="shared" ref="G12:G21" si="2">+F12/31</f>
        <v>11500</v>
      </c>
      <c r="H12" s="32">
        <f>+'[3]NGI Socal'!$E24</f>
        <v>5.6809999999999992</v>
      </c>
      <c r="I12" s="17">
        <f t="shared" si="0"/>
        <v>71299.999999999753</v>
      </c>
      <c r="J12" s="20"/>
      <c r="K12" s="41">
        <f t="shared" si="1"/>
        <v>71299.999999999753</v>
      </c>
      <c r="L12" s="20"/>
    </row>
    <row r="13" spans="1:12" x14ac:dyDescent="0.2">
      <c r="A13" s="31">
        <v>37712</v>
      </c>
      <c r="B13" s="15"/>
      <c r="C13" s="16" t="s">
        <v>31</v>
      </c>
      <c r="D13" s="32">
        <f>+'[3]Henry Hub'!$E20+$D$9</f>
        <v>5.2510000000000003</v>
      </c>
      <c r="E13" s="15"/>
      <c r="F13" s="18">
        <f>11500*30</f>
        <v>345000</v>
      </c>
      <c r="G13" s="18">
        <f>+F13/30</f>
        <v>11500</v>
      </c>
      <c r="H13" s="32">
        <f>+'[3]NGI Socal'!$E25</f>
        <v>5.5659999999999998</v>
      </c>
      <c r="I13" s="17">
        <f t="shared" si="0"/>
        <v>108674.99999999983</v>
      </c>
      <c r="J13" s="15"/>
      <c r="K13" s="41">
        <f t="shared" si="1"/>
        <v>108674.99999999983</v>
      </c>
    </row>
    <row r="14" spans="1:12" x14ac:dyDescent="0.2">
      <c r="A14" s="31">
        <v>37742</v>
      </c>
      <c r="B14" s="15"/>
      <c r="C14" s="16" t="s">
        <v>31</v>
      </c>
      <c r="D14" s="32">
        <f>+'[3]Henry Hub'!$E21+$D$9</f>
        <v>5.2170000000000005</v>
      </c>
      <c r="E14" s="15"/>
      <c r="F14" s="18">
        <f>11500*31</f>
        <v>356500</v>
      </c>
      <c r="G14" s="18">
        <f t="shared" si="2"/>
        <v>11500</v>
      </c>
      <c r="H14" s="32">
        <f>+'[3]NGI Socal'!$E26</f>
        <v>5.532</v>
      </c>
      <c r="I14" s="17">
        <f t="shared" si="0"/>
        <v>112297.49999999983</v>
      </c>
      <c r="J14" s="15"/>
      <c r="K14" s="41">
        <f t="shared" si="1"/>
        <v>112297.49999999983</v>
      </c>
    </row>
    <row r="15" spans="1:12" x14ac:dyDescent="0.2">
      <c r="A15" s="31">
        <v>37773</v>
      </c>
      <c r="B15" s="15"/>
      <c r="C15" s="16" t="s">
        <v>31</v>
      </c>
      <c r="D15" s="32">
        <f>+'[3]Henry Hub'!$E22+$D$9</f>
        <v>5.242</v>
      </c>
      <c r="E15" s="15"/>
      <c r="F15" s="18">
        <f>11500*30</f>
        <v>345000</v>
      </c>
      <c r="G15" s="18">
        <f>+F15/30</f>
        <v>11500</v>
      </c>
      <c r="H15" s="32">
        <f>+'[3]NGI Socal'!$E27</f>
        <v>5.5569999999999995</v>
      </c>
      <c r="I15" s="17">
        <f t="shared" si="0"/>
        <v>108674.99999999983</v>
      </c>
      <c r="J15" s="15"/>
      <c r="K15" s="41">
        <f t="shared" si="1"/>
        <v>108674.99999999983</v>
      </c>
    </row>
    <row r="16" spans="1:12" x14ac:dyDescent="0.2">
      <c r="A16" s="31">
        <v>37803</v>
      </c>
      <c r="B16" s="15"/>
      <c r="C16" s="16" t="s">
        <v>31</v>
      </c>
      <c r="D16" s="32">
        <f>+'[3]Henry Hub'!$E23+$D$9</f>
        <v>5.2629999999999999</v>
      </c>
      <c r="E16" s="15"/>
      <c r="F16" s="18">
        <f>11500*31</f>
        <v>356500</v>
      </c>
      <c r="G16" s="18">
        <f t="shared" si="2"/>
        <v>11500</v>
      </c>
      <c r="H16" s="32">
        <f>+'[3]NGI Socal'!$E28</f>
        <v>5.5779999999999994</v>
      </c>
      <c r="I16" s="17">
        <f t="shared" si="0"/>
        <v>112297.49999999983</v>
      </c>
      <c r="J16" s="15"/>
      <c r="K16" s="41">
        <f t="shared" si="1"/>
        <v>112297.49999999983</v>
      </c>
    </row>
    <row r="17" spans="1:11" x14ac:dyDescent="0.2">
      <c r="A17" s="31">
        <v>37834</v>
      </c>
      <c r="B17" s="15"/>
      <c r="C17" s="16" t="s">
        <v>31</v>
      </c>
      <c r="D17" s="32">
        <f>+'[3]Henry Hub'!$E24+$D$9</f>
        <v>5.2629999999999999</v>
      </c>
      <c r="E17" s="15"/>
      <c r="F17" s="18">
        <f>11500*31</f>
        <v>356500</v>
      </c>
      <c r="G17" s="18">
        <f t="shared" si="2"/>
        <v>11500</v>
      </c>
      <c r="H17" s="32">
        <f>+'[3]NGI Socal'!$E29</f>
        <v>5.5779999999999994</v>
      </c>
      <c r="I17" s="17">
        <f t="shared" si="0"/>
        <v>112297.49999999983</v>
      </c>
      <c r="J17" s="15"/>
      <c r="K17" s="41">
        <f t="shared" si="1"/>
        <v>112297.49999999983</v>
      </c>
    </row>
    <row r="18" spans="1:11" x14ac:dyDescent="0.2">
      <c r="A18" s="31">
        <v>37865</v>
      </c>
      <c r="B18" s="15"/>
      <c r="C18" s="16" t="s">
        <v>31</v>
      </c>
      <c r="D18" s="32">
        <f>+'[3]Henry Hub'!$E25+$D$9</f>
        <v>5.2780000000000005</v>
      </c>
      <c r="E18" s="15"/>
      <c r="F18" s="18">
        <f>11500*30</f>
        <v>345000</v>
      </c>
      <c r="G18" s="18">
        <f>+F18/30</f>
        <v>11500</v>
      </c>
      <c r="H18" s="32">
        <f>+'[3]NGI Socal'!$E30</f>
        <v>5.593</v>
      </c>
      <c r="I18" s="17">
        <f t="shared" si="0"/>
        <v>108674.99999999983</v>
      </c>
      <c r="J18" s="15"/>
      <c r="K18" s="41">
        <f t="shared" si="1"/>
        <v>108674.99999999983</v>
      </c>
    </row>
    <row r="19" spans="1:11" x14ac:dyDescent="0.2">
      <c r="A19" s="31">
        <v>37895</v>
      </c>
      <c r="B19" s="15"/>
      <c r="C19" s="16" t="s">
        <v>31</v>
      </c>
      <c r="D19" s="32">
        <f>+'[3]Henry Hub'!$E26+$D$9</f>
        <v>5.3079999999999998</v>
      </c>
      <c r="E19" s="15"/>
      <c r="F19" s="18">
        <f>11500*31</f>
        <v>356500</v>
      </c>
      <c r="G19" s="18">
        <f t="shared" si="2"/>
        <v>11500</v>
      </c>
      <c r="H19" s="32">
        <f>+'[3]NGI Socal'!$E31</f>
        <v>5.6229999999999993</v>
      </c>
      <c r="I19" s="17">
        <f t="shared" si="0"/>
        <v>112297.49999999983</v>
      </c>
      <c r="J19" s="15"/>
      <c r="K19" s="41">
        <f t="shared" si="1"/>
        <v>112297.49999999983</v>
      </c>
    </row>
    <row r="20" spans="1:11" x14ac:dyDescent="0.2">
      <c r="A20" s="31">
        <v>37926</v>
      </c>
      <c r="B20" s="15"/>
      <c r="C20" s="16" t="s">
        <v>31</v>
      </c>
      <c r="D20" s="32">
        <f>+'[3]Henry Hub'!$E27+$D$9</f>
        <v>5.4480000000000004</v>
      </c>
      <c r="E20" s="15"/>
      <c r="F20" s="18">
        <f>11500*30</f>
        <v>345000</v>
      </c>
      <c r="G20" s="18">
        <f>+F20/30</f>
        <v>11500</v>
      </c>
      <c r="H20" s="32">
        <f>+'[3]NGI Socal'!$E32</f>
        <v>4.9690000000000003</v>
      </c>
      <c r="I20" s="17">
        <f t="shared" si="0"/>
        <v>-165255.00000000003</v>
      </c>
      <c r="J20" s="15"/>
      <c r="K20" s="41">
        <f t="shared" si="1"/>
        <v>-165255.00000000003</v>
      </c>
    </row>
    <row r="21" spans="1:11" x14ac:dyDescent="0.2">
      <c r="A21" s="31">
        <v>37956</v>
      </c>
      <c r="B21" s="15"/>
      <c r="C21" s="16" t="s">
        <v>31</v>
      </c>
      <c r="D21" s="169">
        <f>+'[3]Henry Hub'!$E28+$D$9</f>
        <v>5.5730000000000004</v>
      </c>
      <c r="E21" s="15"/>
      <c r="F21" s="65">
        <f>11500*31</f>
        <v>356500</v>
      </c>
      <c r="G21" s="18">
        <f t="shared" si="2"/>
        <v>11500</v>
      </c>
      <c r="H21" s="169">
        <f>+'[3]NGI Socal'!$E33</f>
        <v>5.0940000000000003</v>
      </c>
      <c r="I21" s="66">
        <f t="shared" si="0"/>
        <v>-170763.50000000003</v>
      </c>
      <c r="J21" s="66"/>
      <c r="K21" s="122">
        <f t="shared" si="1"/>
        <v>-170763.50000000003</v>
      </c>
    </row>
    <row r="22" spans="1:11" x14ac:dyDescent="0.2">
      <c r="A22" s="31"/>
      <c r="B22" s="15"/>
      <c r="C22" s="16"/>
      <c r="D22" s="32">
        <f>SUM(D10:D21)/12</f>
        <v>5.4091666666666667</v>
      </c>
      <c r="E22" s="15"/>
      <c r="F22" s="18">
        <f>SUM(F10:F21)</f>
        <v>4197500</v>
      </c>
      <c r="G22" s="15"/>
      <c r="H22" s="32">
        <f>SUM(H10:H21)/12</f>
        <v>5.5630833333333323</v>
      </c>
      <c r="I22" s="17">
        <f>SUM(I10:I21)</f>
        <v>646196.4999999979</v>
      </c>
      <c r="J22" s="17">
        <f>SUM(J10:J21)</f>
        <v>0</v>
      </c>
      <c r="K22" s="17">
        <f>SUM(K10:K21)</f>
        <v>646196.4999999979</v>
      </c>
    </row>
    <row r="23" spans="1:11" x14ac:dyDescent="0.2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>
        <f>+F22</f>
        <v>4197500</v>
      </c>
      <c r="G25" s="15"/>
      <c r="H25" s="32"/>
      <c r="I25" s="118">
        <f>+I22</f>
        <v>646196.4999999979</v>
      </c>
      <c r="J25" s="118">
        <f>+J22</f>
        <v>0</v>
      </c>
      <c r="K25" s="118">
        <f>+K22</f>
        <v>646196.4999999979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208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110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">
      <c r="A9" s="31">
        <v>36892</v>
      </c>
      <c r="B9" s="15"/>
      <c r="C9" s="16" t="s">
        <v>85</v>
      </c>
      <c r="D9" s="32">
        <v>3.74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940850</v>
      </c>
      <c r="J9" s="41">
        <f>+I9</f>
        <v>940850</v>
      </c>
      <c r="K9" s="41"/>
    </row>
    <row r="10" spans="1:11" x14ac:dyDescent="0.2">
      <c r="A10" s="31">
        <v>36923</v>
      </c>
      <c r="B10" s="15"/>
      <c r="C10" s="16" t="s">
        <v>85</v>
      </c>
      <c r="D10" s="32">
        <v>3.74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401100.00000000006</v>
      </c>
      <c r="J10" s="41"/>
      <c r="K10" s="41">
        <f t="shared" ref="K10:K20" si="1">+I10</f>
        <v>401100.00000000006</v>
      </c>
    </row>
    <row r="11" spans="1:11" x14ac:dyDescent="0.2">
      <c r="A11" s="31">
        <v>36951</v>
      </c>
      <c r="B11" s="15"/>
      <c r="C11" s="16" t="s">
        <v>85</v>
      </c>
      <c r="D11" s="32">
        <v>3.74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324259.99999999994</v>
      </c>
      <c r="J11" s="41"/>
      <c r="K11" s="41">
        <f t="shared" si="1"/>
        <v>324259.99999999994</v>
      </c>
    </row>
    <row r="12" spans="1:11" x14ac:dyDescent="0.2">
      <c r="A12" s="31">
        <v>36982</v>
      </c>
      <c r="B12" s="15"/>
      <c r="C12" s="16" t="s">
        <v>85</v>
      </c>
      <c r="D12" s="32">
        <v>3.74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233999.99999999994</v>
      </c>
      <c r="J12" s="41"/>
      <c r="K12" s="41">
        <f t="shared" si="1"/>
        <v>233999.99999999994</v>
      </c>
    </row>
    <row r="13" spans="1:11" x14ac:dyDescent="0.2">
      <c r="A13" s="31">
        <v>37012</v>
      </c>
      <c r="B13" s="15"/>
      <c r="C13" s="16" t="s">
        <v>85</v>
      </c>
      <c r="D13" s="32">
        <v>3.74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220100</v>
      </c>
      <c r="J13" s="39"/>
      <c r="K13" s="41">
        <f t="shared" si="1"/>
        <v>220100</v>
      </c>
    </row>
    <row r="14" spans="1:11" x14ac:dyDescent="0.2">
      <c r="A14" s="31">
        <v>37043</v>
      </c>
      <c r="B14" s="15"/>
      <c r="C14" s="16" t="s">
        <v>85</v>
      </c>
      <c r="D14" s="32">
        <v>3.74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215999.99999999991</v>
      </c>
      <c r="J14" s="39"/>
      <c r="K14" s="41">
        <f t="shared" si="1"/>
        <v>215999.99999999991</v>
      </c>
    </row>
    <row r="15" spans="1:11" x14ac:dyDescent="0.2">
      <c r="A15" s="31">
        <v>37073</v>
      </c>
      <c r="B15" s="15"/>
      <c r="C15" s="16" t="s">
        <v>85</v>
      </c>
      <c r="D15" s="32">
        <v>3.74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252649.99999999985</v>
      </c>
      <c r="J15" s="39"/>
      <c r="K15" s="41">
        <f t="shared" si="1"/>
        <v>252649.99999999985</v>
      </c>
    </row>
    <row r="16" spans="1:11" x14ac:dyDescent="0.2">
      <c r="A16" s="31">
        <v>37104</v>
      </c>
      <c r="B16" s="15"/>
      <c r="C16" s="16" t="s">
        <v>85</v>
      </c>
      <c r="D16" s="32">
        <v>3.74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254199.99999999994</v>
      </c>
      <c r="J16" s="39"/>
      <c r="K16" s="41">
        <f t="shared" si="1"/>
        <v>254199.99999999994</v>
      </c>
    </row>
    <row r="17" spans="1:11" x14ac:dyDescent="0.2">
      <c r="A17" s="31">
        <v>37135</v>
      </c>
      <c r="B17" s="15"/>
      <c r="C17" s="16" t="s">
        <v>85</v>
      </c>
      <c r="D17" s="32">
        <v>3.74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241499.99999999991</v>
      </c>
      <c r="J17" s="39"/>
      <c r="K17" s="41">
        <f t="shared" si="1"/>
        <v>241499.99999999991</v>
      </c>
    </row>
    <row r="18" spans="1:11" x14ac:dyDescent="0.2">
      <c r="A18" s="31">
        <v>37165</v>
      </c>
      <c r="B18" s="15"/>
      <c r="C18" s="16" t="s">
        <v>85</v>
      </c>
      <c r="D18" s="32">
        <v>3.74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245675</v>
      </c>
      <c r="J18" s="39"/>
      <c r="K18" s="41">
        <f t="shared" si="1"/>
        <v>245675</v>
      </c>
    </row>
    <row r="19" spans="1:11" x14ac:dyDescent="0.2">
      <c r="A19" s="31">
        <v>37196</v>
      </c>
      <c r="B19" s="15"/>
      <c r="C19" s="16" t="s">
        <v>85</v>
      </c>
      <c r="D19" s="32">
        <v>3.74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245249.99999999997</v>
      </c>
      <c r="J19" s="39"/>
      <c r="K19" s="41">
        <f t="shared" si="1"/>
        <v>245249.99999999997</v>
      </c>
    </row>
    <row r="20" spans="1:11" x14ac:dyDescent="0.2">
      <c r="A20" s="31">
        <v>37226</v>
      </c>
      <c r="B20" s="15"/>
      <c r="C20" s="16" t="s">
        <v>85</v>
      </c>
      <c r="D20" s="32">
        <v>3.74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274350.00000000006</v>
      </c>
      <c r="J20" s="39"/>
      <c r="K20" s="41">
        <f t="shared" si="1"/>
        <v>274350.00000000006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3849935</v>
      </c>
      <c r="J22" s="35">
        <f>SUM(J9:J20)</f>
        <v>940850</v>
      </c>
      <c r="K22" s="35">
        <f>SUM(K9:K20)</f>
        <v>2909084.9999999995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36</v>
      </c>
      <c r="D26" s="32">
        <v>3.74</v>
      </c>
      <c r="E26" s="15"/>
      <c r="F26" s="18">
        <f>5000*31</f>
        <v>155000</v>
      </c>
      <c r="G26" s="32"/>
      <c r="H26" s="32">
        <v>9.81</v>
      </c>
      <c r="I26" s="17">
        <f>(+D26-H26)*F26</f>
        <v>-940850</v>
      </c>
      <c r="J26" s="41">
        <f>+I26</f>
        <v>-940850</v>
      </c>
      <c r="K26" s="41"/>
    </row>
    <row r="27" spans="1:11" x14ac:dyDescent="0.2">
      <c r="A27" s="31">
        <v>36923</v>
      </c>
      <c r="B27" s="15"/>
      <c r="C27" s="16" t="s">
        <v>36</v>
      </c>
      <c r="D27" s="32">
        <v>3.74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-401100.00000000006</v>
      </c>
      <c r="J27" s="41"/>
      <c r="K27" s="41">
        <f t="shared" ref="K27:K37" si="3">+I27</f>
        <v>-401100.00000000006</v>
      </c>
    </row>
    <row r="28" spans="1:11" x14ac:dyDescent="0.2">
      <c r="A28" s="31">
        <v>36951</v>
      </c>
      <c r="B28" s="15"/>
      <c r="C28" s="16" t="s">
        <v>36</v>
      </c>
      <c r="D28" s="32">
        <v>3.74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-324259.99999999994</v>
      </c>
      <c r="J28" s="41"/>
      <c r="K28" s="41">
        <f t="shared" si="3"/>
        <v>-324259.99999999994</v>
      </c>
    </row>
    <row r="29" spans="1:11" x14ac:dyDescent="0.2">
      <c r="A29" s="31">
        <v>36982</v>
      </c>
      <c r="B29" s="15"/>
      <c r="C29" s="16" t="s">
        <v>36</v>
      </c>
      <c r="D29" s="32">
        <v>3.74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-233999.99999999994</v>
      </c>
      <c r="J29" s="41"/>
      <c r="K29" s="41">
        <f t="shared" si="3"/>
        <v>-233999.99999999994</v>
      </c>
    </row>
    <row r="30" spans="1:11" x14ac:dyDescent="0.2">
      <c r="A30" s="31">
        <v>37012</v>
      </c>
      <c r="B30" s="15"/>
      <c r="C30" s="16" t="s">
        <v>36</v>
      </c>
      <c r="D30" s="32">
        <v>3.74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-220100</v>
      </c>
      <c r="J30" s="39"/>
      <c r="K30" s="41">
        <f t="shared" si="3"/>
        <v>-220100</v>
      </c>
    </row>
    <row r="31" spans="1:11" x14ac:dyDescent="0.2">
      <c r="A31" s="31">
        <v>37043</v>
      </c>
      <c r="B31" s="15"/>
      <c r="C31" s="16" t="s">
        <v>36</v>
      </c>
      <c r="D31" s="32">
        <v>3.74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-215999.99999999991</v>
      </c>
      <c r="J31" s="39"/>
      <c r="K31" s="41">
        <f t="shared" si="3"/>
        <v>-215999.99999999991</v>
      </c>
    </row>
    <row r="32" spans="1:11" x14ac:dyDescent="0.2">
      <c r="A32" s="31">
        <v>37073</v>
      </c>
      <c r="B32" s="15"/>
      <c r="C32" s="16" t="s">
        <v>36</v>
      </c>
      <c r="D32" s="32">
        <v>3.74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-252649.99999999985</v>
      </c>
      <c r="J32" s="39"/>
      <c r="K32" s="41">
        <f t="shared" si="3"/>
        <v>-252649.99999999985</v>
      </c>
    </row>
    <row r="33" spans="1:11" x14ac:dyDescent="0.2">
      <c r="A33" s="31">
        <v>37104</v>
      </c>
      <c r="B33" s="15"/>
      <c r="C33" s="16" t="s">
        <v>36</v>
      </c>
      <c r="D33" s="32">
        <v>3.74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-254199.99999999994</v>
      </c>
      <c r="J33" s="39"/>
      <c r="K33" s="41">
        <f t="shared" si="3"/>
        <v>-254199.99999999994</v>
      </c>
    </row>
    <row r="34" spans="1:11" x14ac:dyDescent="0.2">
      <c r="A34" s="31">
        <v>37135</v>
      </c>
      <c r="B34" s="15"/>
      <c r="C34" s="16" t="s">
        <v>36</v>
      </c>
      <c r="D34" s="32">
        <v>3.74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-241499.99999999991</v>
      </c>
      <c r="J34" s="39"/>
      <c r="K34" s="41">
        <f t="shared" si="3"/>
        <v>-241499.99999999991</v>
      </c>
    </row>
    <row r="35" spans="1:11" x14ac:dyDescent="0.2">
      <c r="A35" s="31">
        <v>37165</v>
      </c>
      <c r="B35" s="15"/>
      <c r="C35" s="16" t="s">
        <v>36</v>
      </c>
      <c r="D35" s="32">
        <v>3.74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-245675</v>
      </c>
      <c r="J35" s="39"/>
      <c r="K35" s="41">
        <f t="shared" si="3"/>
        <v>-245675</v>
      </c>
    </row>
    <row r="36" spans="1:11" x14ac:dyDescent="0.2">
      <c r="A36" s="31">
        <v>37196</v>
      </c>
      <c r="B36" s="15"/>
      <c r="C36" s="16" t="s">
        <v>36</v>
      </c>
      <c r="D36" s="32">
        <v>3.74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-245249.99999999997</v>
      </c>
      <c r="J36" s="39"/>
      <c r="K36" s="41">
        <f t="shared" si="3"/>
        <v>-245249.99999999997</v>
      </c>
    </row>
    <row r="37" spans="1:11" x14ac:dyDescent="0.2">
      <c r="A37" s="31">
        <v>37226</v>
      </c>
      <c r="B37" s="15"/>
      <c r="C37" s="16" t="s">
        <v>36</v>
      </c>
      <c r="D37" s="32">
        <v>3.74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-274350.00000000006</v>
      </c>
      <c r="J37" s="39"/>
      <c r="K37" s="41">
        <f t="shared" si="3"/>
        <v>-274350.00000000006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-3849935</v>
      </c>
      <c r="J39" s="33">
        <f>SUM(J26:J38)</f>
        <v>-940850</v>
      </c>
      <c r="K39" s="33">
        <f>SUM(K26:K38)</f>
        <v>-2909084.9999999995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opLeftCell="C1" workbookViewId="0">
      <selection activeCell="C1"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270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271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272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-0.21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37226</v>
      </c>
      <c r="B10" s="15"/>
      <c r="C10" s="16" t="s">
        <v>31</v>
      </c>
      <c r="D10" s="32">
        <f>+'[3]Henry Hub'!$E17+$D$9</f>
        <v>4.5049999999999999</v>
      </c>
      <c r="E10" s="15"/>
      <c r="F10" s="18">
        <f>-13500*31</f>
        <v>-418500</v>
      </c>
      <c r="G10" s="18">
        <f>+F10/31</f>
        <v>-13500</v>
      </c>
      <c r="H10" s="32">
        <f>+'[3]ELpaso SJ &amp; Prm'!$F$19</f>
        <v>5.2050000000000001</v>
      </c>
      <c r="I10" s="17">
        <f>SUM(-D10+H10)*F10</f>
        <v>-292950.00000000006</v>
      </c>
      <c r="J10" s="41"/>
      <c r="K10" s="41">
        <f>+I10</f>
        <v>-292950.00000000006</v>
      </c>
    </row>
    <row r="11" spans="1:12" x14ac:dyDescent="0.2">
      <c r="A11" s="31"/>
      <c r="B11" s="15"/>
      <c r="C11" s="16"/>
      <c r="D11" s="169"/>
      <c r="E11" s="15"/>
      <c r="F11" s="65"/>
      <c r="G11" s="18"/>
      <c r="H11" s="169"/>
      <c r="I11" s="66"/>
      <c r="J11" s="66"/>
      <c r="K11" s="122"/>
    </row>
    <row r="12" spans="1:12" x14ac:dyDescent="0.2">
      <c r="A12" s="31"/>
      <c r="B12" s="15"/>
      <c r="C12" s="16"/>
      <c r="D12" s="32"/>
      <c r="E12" s="15"/>
      <c r="F12" s="18">
        <f>SUM(F10:F11)</f>
        <v>-418500</v>
      </c>
      <c r="G12" s="15"/>
      <c r="H12" s="32"/>
      <c r="I12" s="17">
        <f>SUM(I10:I11)</f>
        <v>-292950.00000000006</v>
      </c>
      <c r="J12" s="17">
        <f>SUM(J10:J11)</f>
        <v>0</v>
      </c>
      <c r="K12" s="17">
        <f>SUM(K10:K11)</f>
        <v>-292950.00000000006</v>
      </c>
    </row>
    <row r="13" spans="1:12" x14ac:dyDescent="0.2">
      <c r="A13" s="31"/>
      <c r="B13" s="15"/>
      <c r="C13" s="16"/>
      <c r="D13" s="32"/>
      <c r="E13" s="15"/>
      <c r="F13" s="18"/>
      <c r="G13" s="300"/>
      <c r="H13" s="32"/>
      <c r="I13" s="17"/>
      <c r="J13" s="39"/>
      <c r="K13" s="19"/>
    </row>
    <row r="14" spans="1:12" x14ac:dyDescent="0.2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ht="13.5" thickBot="1" x14ac:dyDescent="0.25">
      <c r="A15" s="31"/>
      <c r="B15" s="15"/>
      <c r="C15" s="16"/>
      <c r="D15" s="32"/>
      <c r="E15" s="15"/>
      <c r="F15" s="117">
        <f>+F12</f>
        <v>-418500</v>
      </c>
      <c r="G15" s="15"/>
      <c r="H15" s="32"/>
      <c r="I15" s="118">
        <f>+I12</f>
        <v>-292950.00000000006</v>
      </c>
      <c r="J15" s="118">
        <f>+J12</f>
        <v>0</v>
      </c>
      <c r="K15" s="118">
        <f>+K12</f>
        <v>-292950.00000000006</v>
      </c>
    </row>
    <row r="16" spans="1:12" ht="13.5" thickTop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0"/>
    </row>
    <row r="18" spans="1:1" x14ac:dyDescent="0.2">
      <c r="A1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selection activeCell="G7" sqref="G7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273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31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0.9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37226</v>
      </c>
      <c r="B10" s="15"/>
      <c r="C10" s="16" t="s">
        <v>31</v>
      </c>
      <c r="D10" s="32">
        <f>+'[3]Henry Hub'!$E17+$D$9</f>
        <v>5.6150000000000002</v>
      </c>
      <c r="E10" s="15"/>
      <c r="F10" s="18">
        <f>13500*31</f>
        <v>418500</v>
      </c>
      <c r="G10" s="18">
        <f>+F10/31</f>
        <v>13500</v>
      </c>
      <c r="H10" s="32">
        <f>+'[3]NGI Socal'!$E$9</f>
        <v>7.6800000000000006</v>
      </c>
      <c r="I10" s="17">
        <f>SUM(-D10+H10)*F10</f>
        <v>864202.50000000012</v>
      </c>
      <c r="J10" s="41"/>
      <c r="K10" s="41">
        <f>+I10</f>
        <v>864202.50000000012</v>
      </c>
    </row>
    <row r="11" spans="1:12" x14ac:dyDescent="0.2">
      <c r="A11" s="31"/>
      <c r="B11" s="15"/>
      <c r="C11" s="16"/>
      <c r="D11" s="169"/>
      <c r="E11" s="15"/>
      <c r="F11" s="65"/>
      <c r="G11" s="18"/>
      <c r="H11" s="169"/>
      <c r="I11" s="66"/>
      <c r="J11" s="66"/>
      <c r="K11" s="122"/>
    </row>
    <row r="12" spans="1:12" x14ac:dyDescent="0.2">
      <c r="A12" s="31"/>
      <c r="B12" s="15"/>
      <c r="C12" s="16"/>
      <c r="D12" s="32"/>
      <c r="E12" s="15"/>
      <c r="F12" s="18">
        <f>SUM(F10:F11)</f>
        <v>418500</v>
      </c>
      <c r="G12" s="15"/>
      <c r="H12" s="32"/>
      <c r="I12" s="17">
        <f>SUM(I10:I11)</f>
        <v>864202.50000000012</v>
      </c>
      <c r="J12" s="17">
        <f>SUM(J10:J11)</f>
        <v>0</v>
      </c>
      <c r="K12" s="17">
        <f>SUM(K10:K11)</f>
        <v>864202.50000000012</v>
      </c>
    </row>
    <row r="13" spans="1:12" x14ac:dyDescent="0.2">
      <c r="A13" s="31"/>
      <c r="B13" s="15"/>
      <c r="C13" s="16"/>
      <c r="D13" s="32"/>
      <c r="E13" s="15"/>
      <c r="F13" s="18"/>
      <c r="G13" s="300"/>
      <c r="H13" s="32"/>
      <c r="I13" s="17"/>
      <c r="J13" s="39"/>
      <c r="K13" s="19"/>
    </row>
    <row r="14" spans="1:12" x14ac:dyDescent="0.2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ht="13.5" thickBot="1" x14ac:dyDescent="0.25">
      <c r="A15" s="31"/>
      <c r="B15" s="15"/>
      <c r="C15" s="16"/>
      <c r="D15" s="32"/>
      <c r="E15" s="15"/>
      <c r="F15" s="117">
        <f>+F12</f>
        <v>418500</v>
      </c>
      <c r="G15" s="15"/>
      <c r="H15" s="32"/>
      <c r="I15" s="118">
        <f>+I12</f>
        <v>864202.50000000012</v>
      </c>
      <c r="J15" s="118">
        <f>+J12</f>
        <v>0</v>
      </c>
      <c r="K15" s="118">
        <f>+K12</f>
        <v>864202.50000000012</v>
      </c>
    </row>
    <row r="16" spans="1:12" ht="13.5" thickTop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0"/>
    </row>
    <row r="18" spans="1:1" x14ac:dyDescent="0.2">
      <c r="A1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278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272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-0.15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37562</v>
      </c>
      <c r="B10" s="15"/>
      <c r="C10" s="16" t="s">
        <v>31</v>
      </c>
      <c r="D10" s="32">
        <f>+[3]NYMEX!$C29+D9</f>
        <v>4.42</v>
      </c>
      <c r="E10" s="15"/>
      <c r="F10" s="18">
        <f>-21500*30</f>
        <v>-645000</v>
      </c>
      <c r="G10" s="18"/>
      <c r="H10" s="32">
        <f>+'[3]ELpaso SJ &amp; Prm'!$F30</f>
        <v>4.3950000000000005</v>
      </c>
      <c r="I10" s="17">
        <f>SUM(-D10+H10)*F10</f>
        <v>16124.999999999656</v>
      </c>
      <c r="J10" s="41"/>
      <c r="K10" s="41">
        <f>+I10</f>
        <v>16124.999999999656</v>
      </c>
    </row>
    <row r="11" spans="1:12" x14ac:dyDescent="0.2">
      <c r="A11" s="31">
        <v>37591</v>
      </c>
      <c r="B11" s="15"/>
      <c r="C11" s="16" t="s">
        <v>31</v>
      </c>
      <c r="D11" s="32">
        <f>+[3]NYMEX!$C30+D9</f>
        <v>4.5249999999999995</v>
      </c>
      <c r="E11" s="15"/>
      <c r="F11" s="18">
        <f>-21500*31</f>
        <v>-666500</v>
      </c>
      <c r="G11" s="18"/>
      <c r="H11" s="32">
        <f>+'[3]ELpaso SJ &amp; Prm'!$F31</f>
        <v>4.5</v>
      </c>
      <c r="I11" s="17">
        <f>SUM(-D11+H11)*F11</f>
        <v>16662.499999999643</v>
      </c>
      <c r="J11" s="41"/>
      <c r="K11" s="41">
        <f>+I11</f>
        <v>16662.499999999643</v>
      </c>
    </row>
    <row r="12" spans="1:12" x14ac:dyDescent="0.2">
      <c r="A12" s="31"/>
      <c r="B12" s="15"/>
      <c r="C12" s="16"/>
      <c r="D12" s="169"/>
      <c r="E12" s="15"/>
      <c r="F12" s="65"/>
      <c r="G12" s="18"/>
      <c r="H12" s="169"/>
      <c r="I12" s="66"/>
      <c r="J12" s="66"/>
      <c r="K12" s="122"/>
    </row>
    <row r="13" spans="1:12" x14ac:dyDescent="0.2">
      <c r="A13" s="31"/>
      <c r="B13" s="15"/>
      <c r="C13" s="16"/>
      <c r="D13" s="32">
        <f>SUM(D10:D12)/2</f>
        <v>4.4725000000000001</v>
      </c>
      <c r="E13" s="15"/>
      <c r="F13" s="18">
        <f>SUM(F10:F12)</f>
        <v>-1311500</v>
      </c>
      <c r="G13" s="15"/>
      <c r="H13" s="32">
        <f>SUM(H10:H12)/2</f>
        <v>4.4474999999999998</v>
      </c>
      <c r="I13" s="17">
        <f>SUM(I10:I12)</f>
        <v>32787.499999999302</v>
      </c>
      <c r="J13" s="17">
        <f>SUM(J10:J12)</f>
        <v>0</v>
      </c>
      <c r="K13" s="17">
        <f>SUM(K10:K12)</f>
        <v>32787.499999999302</v>
      </c>
    </row>
    <row r="14" spans="1:12" x14ac:dyDescent="0.2">
      <c r="A14" s="31"/>
      <c r="B14" s="15"/>
      <c r="C14" s="16"/>
      <c r="D14" s="32"/>
      <c r="E14" s="15"/>
      <c r="F14" s="18"/>
      <c r="G14" s="300"/>
      <c r="H14" s="32"/>
      <c r="I14" s="17"/>
      <c r="J14" s="39"/>
      <c r="K14" s="19"/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ht="13.5" thickBot="1" x14ac:dyDescent="0.25">
      <c r="A16" s="31"/>
      <c r="B16" s="15"/>
      <c r="C16" s="16"/>
      <c r="D16" s="32"/>
      <c r="E16" s="15"/>
      <c r="F16" s="117">
        <f>+F13</f>
        <v>-1311500</v>
      </c>
      <c r="G16" s="15"/>
      <c r="H16" s="32"/>
      <c r="I16" s="118">
        <f>+I13</f>
        <v>32787.499999999302</v>
      </c>
      <c r="J16" s="118">
        <f>+J13</f>
        <v>0</v>
      </c>
      <c r="K16" s="118">
        <f>+K13</f>
        <v>32787.499999999302</v>
      </c>
    </row>
    <row r="17" spans="1:11" ht="13.5" thickTop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0"/>
    </row>
    <row r="19" spans="1:11" x14ac:dyDescent="0.2">
      <c r="A19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K11" sqref="K11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160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0.85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37561</v>
      </c>
      <c r="B10" s="15"/>
      <c r="C10" s="16" t="s">
        <v>31</v>
      </c>
      <c r="D10" s="32">
        <f>+[3]NYMEX!$C29+$D$9</f>
        <v>5.42</v>
      </c>
      <c r="E10" s="15"/>
      <c r="F10" s="18">
        <f>21500*30</f>
        <v>645000</v>
      </c>
      <c r="G10" s="18"/>
      <c r="H10" s="32">
        <f>+'[3]NGI Socal'!$E20</f>
        <v>5.93</v>
      </c>
      <c r="I10" s="17">
        <f>SUM(-D10+H10)*F10</f>
        <v>328949.99999999988</v>
      </c>
      <c r="J10" s="41"/>
      <c r="K10" s="41">
        <f>+I10</f>
        <v>328949.99999999988</v>
      </c>
    </row>
    <row r="11" spans="1:12" x14ac:dyDescent="0.2">
      <c r="A11" s="31">
        <v>37591</v>
      </c>
      <c r="B11" s="15"/>
      <c r="C11" s="16" t="s">
        <v>31</v>
      </c>
      <c r="D11" s="32">
        <f>+[3]NYMEX!$C30+$D$9</f>
        <v>5.5249999999999995</v>
      </c>
      <c r="E11" s="15"/>
      <c r="F11" s="18">
        <f>21500*31</f>
        <v>666500</v>
      </c>
      <c r="G11" s="18"/>
      <c r="H11" s="32">
        <f>+'[3]NGI Socal'!$E21</f>
        <v>6.0349999999999993</v>
      </c>
      <c r="I11" s="17">
        <f>SUM(-D11+H11)*F11</f>
        <v>339914.99999999988</v>
      </c>
      <c r="J11" s="41"/>
      <c r="K11" s="41">
        <f>+I11</f>
        <v>339914.99999999988</v>
      </c>
    </row>
    <row r="12" spans="1:12" x14ac:dyDescent="0.2">
      <c r="A12" s="31"/>
      <c r="B12" s="15"/>
      <c r="C12" s="16"/>
      <c r="D12" s="169"/>
      <c r="E12" s="15"/>
      <c r="F12" s="65"/>
      <c r="G12" s="18"/>
      <c r="H12" s="169"/>
      <c r="I12" s="66"/>
      <c r="J12" s="66"/>
      <c r="K12" s="122"/>
    </row>
    <row r="13" spans="1:12" x14ac:dyDescent="0.2">
      <c r="A13" s="31"/>
      <c r="B13" s="15"/>
      <c r="C13" s="16"/>
      <c r="D13" s="32">
        <f>SUM(D10:D12)/2</f>
        <v>5.4725000000000001</v>
      </c>
      <c r="E13" s="15"/>
      <c r="F13" s="18">
        <f>SUM(F10:F12)</f>
        <v>1311500</v>
      </c>
      <c r="G13" s="15"/>
      <c r="H13" s="32">
        <f>SUM(H10:H12)/2</f>
        <v>5.9824999999999999</v>
      </c>
      <c r="I13" s="17">
        <f>SUM(I10:I12)</f>
        <v>668864.99999999977</v>
      </c>
      <c r="J13" s="17">
        <f>SUM(J10:J12)</f>
        <v>0</v>
      </c>
      <c r="K13" s="17">
        <f>SUM(K10:K12)</f>
        <v>668864.99999999977</v>
      </c>
    </row>
    <row r="14" spans="1:12" x14ac:dyDescent="0.2">
      <c r="A14" s="31"/>
      <c r="B14" s="15"/>
      <c r="C14" s="16"/>
      <c r="D14" s="32"/>
      <c r="E14" s="15"/>
      <c r="F14" s="18"/>
      <c r="G14" s="300"/>
      <c r="H14" s="32"/>
      <c r="I14" s="17"/>
      <c r="J14" s="39"/>
      <c r="K14" s="19"/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ht="13.5" thickBot="1" x14ac:dyDescent="0.25">
      <c r="A16" s="31"/>
      <c r="B16" s="15"/>
      <c r="C16" s="16"/>
      <c r="D16" s="32"/>
      <c r="E16" s="15"/>
      <c r="F16" s="117">
        <f>+F13</f>
        <v>1311500</v>
      </c>
      <c r="G16" s="15"/>
      <c r="H16" s="32"/>
      <c r="I16" s="118">
        <f>+I13</f>
        <v>668864.99999999977</v>
      </c>
      <c r="J16" s="118">
        <f>+J13</f>
        <v>0</v>
      </c>
      <c r="K16" s="118">
        <f>+K13</f>
        <v>668864.99999999977</v>
      </c>
    </row>
    <row r="17" spans="1:11" ht="13.5" thickTop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0"/>
    </row>
    <row r="19" spans="1:11" x14ac:dyDescent="0.2">
      <c r="A19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>
      <selection activeCell="F19" sqref="F19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11" width="15" bestFit="1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66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 t="s">
        <v>136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129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36526</v>
      </c>
      <c r="B9" s="15"/>
      <c r="C9" s="16" t="s">
        <v>31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20" si="0">(+D9-G9)*F9</f>
        <v>-81375.000000000131</v>
      </c>
      <c r="J9" s="41">
        <f t="shared" ref="J9:J20" si="1">+I9</f>
        <v>-81375.000000000131</v>
      </c>
      <c r="K9" s="41"/>
    </row>
    <row r="10" spans="1:11" x14ac:dyDescent="0.2">
      <c r="A10" s="31">
        <v>36557</v>
      </c>
      <c r="B10" s="15"/>
      <c r="C10" s="16" t="s">
        <v>31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31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31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31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31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31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31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31</v>
      </c>
      <c r="D17" s="32">
        <v>2.3650000000000002</v>
      </c>
      <c r="E17" s="15"/>
      <c r="F17" s="18">
        <f>-15000*30</f>
        <v>-450000</v>
      </c>
      <c r="G17" s="32">
        <v>4.5</v>
      </c>
      <c r="H17" s="32"/>
      <c r="I17" s="17">
        <f t="shared" si="0"/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31</v>
      </c>
      <c r="D18" s="32">
        <v>2.3650000000000002</v>
      </c>
      <c r="E18" s="15"/>
      <c r="F18" s="18">
        <f t="shared" si="2"/>
        <v>-465000</v>
      </c>
      <c r="G18" s="32">
        <v>5.15</v>
      </c>
      <c r="H18" s="32"/>
      <c r="I18" s="17">
        <f t="shared" si="0"/>
        <v>1295025</v>
      </c>
      <c r="J18" s="41">
        <f t="shared" si="1"/>
        <v>1295025</v>
      </c>
      <c r="K18" s="41"/>
    </row>
    <row r="19" spans="1:11" x14ac:dyDescent="0.2">
      <c r="A19" s="31">
        <v>36831</v>
      </c>
      <c r="B19" s="15"/>
      <c r="C19" s="16" t="s">
        <v>31</v>
      </c>
      <c r="D19" s="32">
        <v>2.3650000000000002</v>
      </c>
      <c r="E19" s="15"/>
      <c r="F19" s="18">
        <f>-15000*30</f>
        <v>-450000</v>
      </c>
      <c r="G19" s="32">
        <v>4.5199999999999996</v>
      </c>
      <c r="H19" s="32"/>
      <c r="I19" s="17">
        <f t="shared" si="0"/>
        <v>969749.99999999977</v>
      </c>
      <c r="J19" s="41">
        <f t="shared" si="1"/>
        <v>969749.99999999977</v>
      </c>
      <c r="K19" s="41"/>
    </row>
    <row r="20" spans="1:11" x14ac:dyDescent="0.2">
      <c r="A20" s="31">
        <v>36861</v>
      </c>
      <c r="B20" s="15"/>
      <c r="C20" s="16" t="s">
        <v>31</v>
      </c>
      <c r="D20" s="32">
        <v>2.3650000000000002</v>
      </c>
      <c r="E20" s="15"/>
      <c r="F20" s="18">
        <f t="shared" si="2"/>
        <v>-465000</v>
      </c>
      <c r="G20" s="32">
        <v>6.27</v>
      </c>
      <c r="H20" s="32"/>
      <c r="I20" s="17">
        <f t="shared" si="0"/>
        <v>1815824.9999999998</v>
      </c>
      <c r="J20" s="41">
        <f t="shared" si="1"/>
        <v>1815824.9999999998</v>
      </c>
      <c r="K20" s="41"/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7783649.9999999991</v>
      </c>
      <c r="J22" s="35">
        <f>SUM(J9:J20)</f>
        <v>7783649.9999999991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120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36</v>
      </c>
      <c r="D26" s="32">
        <v>2.3650000000000002</v>
      </c>
      <c r="E26" s="15"/>
      <c r="F26" s="18">
        <f>15000*31</f>
        <v>465000</v>
      </c>
      <c r="G26" s="32">
        <v>2.19</v>
      </c>
      <c r="H26" s="61"/>
      <c r="I26" s="17">
        <f t="shared" ref="I26:I37" si="3">(+D26-G26)*F26</f>
        <v>81375.000000000131</v>
      </c>
      <c r="J26" s="41">
        <f t="shared" ref="J26:J37" si="4">+I26</f>
        <v>81375.000000000131</v>
      </c>
      <c r="K26" s="41"/>
    </row>
    <row r="27" spans="1:11" x14ac:dyDescent="0.2">
      <c r="A27" s="31">
        <v>36557</v>
      </c>
      <c r="B27" s="15"/>
      <c r="C27" s="16" t="s">
        <v>36</v>
      </c>
      <c r="D27" s="32">
        <v>2.3650000000000002</v>
      </c>
      <c r="E27" s="15"/>
      <c r="F27" s="18">
        <f>15000*29</f>
        <v>435000</v>
      </c>
      <c r="G27" s="32">
        <v>2.41</v>
      </c>
      <c r="H27" s="61"/>
      <c r="I27" s="17">
        <f t="shared" si="3"/>
        <v>-19574.999999999971</v>
      </c>
      <c r="J27" s="41">
        <f t="shared" si="4"/>
        <v>-19574.999999999971</v>
      </c>
      <c r="K27" s="41"/>
    </row>
    <row r="28" spans="1:11" x14ac:dyDescent="0.2">
      <c r="A28" s="31">
        <v>36586</v>
      </c>
      <c r="B28" s="15"/>
      <c r="C28" s="16" t="s">
        <v>36</v>
      </c>
      <c r="D28" s="32">
        <v>2.3650000000000002</v>
      </c>
      <c r="E28" s="15"/>
      <c r="F28" s="18">
        <f>15000*31</f>
        <v>465000</v>
      </c>
      <c r="G28" s="32">
        <v>2.41</v>
      </c>
      <c r="H28" s="61"/>
      <c r="I28" s="17">
        <f t="shared" si="3"/>
        <v>-20924.999999999967</v>
      </c>
      <c r="J28" s="41">
        <f t="shared" si="4"/>
        <v>-20924.999999999967</v>
      </c>
      <c r="K28" s="41"/>
    </row>
    <row r="29" spans="1:11" x14ac:dyDescent="0.2">
      <c r="A29" s="31">
        <v>36617</v>
      </c>
      <c r="B29" s="15"/>
      <c r="C29" s="16" t="s">
        <v>36</v>
      </c>
      <c r="D29" s="32">
        <v>2.3650000000000002</v>
      </c>
      <c r="E29" s="15"/>
      <c r="F29" s="18">
        <f>15000*30</f>
        <v>450000</v>
      </c>
      <c r="G29" s="32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36</v>
      </c>
      <c r="D30" s="32">
        <v>2.3650000000000002</v>
      </c>
      <c r="E30" s="15"/>
      <c r="F30" s="18">
        <f>15000*31</f>
        <v>465000</v>
      </c>
      <c r="G30" s="32">
        <v>2.87</v>
      </c>
      <c r="H30" s="61"/>
      <c r="I30" s="17">
        <f t="shared" si="3"/>
        <v>-234824.99999999994</v>
      </c>
      <c r="J30" s="41">
        <f t="shared" si="4"/>
        <v>-234824.99999999994</v>
      </c>
      <c r="K30" s="41"/>
    </row>
    <row r="31" spans="1:11" x14ac:dyDescent="0.2">
      <c r="A31" s="31">
        <v>36678</v>
      </c>
      <c r="B31" s="15"/>
      <c r="C31" s="16" t="s">
        <v>36</v>
      </c>
      <c r="D31" s="32">
        <v>2.3650000000000002</v>
      </c>
      <c r="E31" s="15"/>
      <c r="F31" s="18">
        <f>15000*30</f>
        <v>450000</v>
      </c>
      <c r="G31" s="32">
        <v>4.0999999999999996</v>
      </c>
      <c r="H31" s="61"/>
      <c r="I31" s="17">
        <f t="shared" si="3"/>
        <v>-780749.99999999977</v>
      </c>
      <c r="J31" s="41">
        <f t="shared" si="4"/>
        <v>-780749.99999999977</v>
      </c>
      <c r="K31" s="41"/>
    </row>
    <row r="32" spans="1:11" x14ac:dyDescent="0.2">
      <c r="A32" s="31">
        <v>36708</v>
      </c>
      <c r="B32" s="15"/>
      <c r="C32" s="16" t="s">
        <v>36</v>
      </c>
      <c r="D32" s="32">
        <v>2.3650000000000002</v>
      </c>
      <c r="E32" s="15"/>
      <c r="F32" s="18">
        <f>15000*31</f>
        <v>465000</v>
      </c>
      <c r="G32" s="32">
        <v>4.3499999999999996</v>
      </c>
      <c r="H32" s="61"/>
      <c r="I32" s="17">
        <f t="shared" si="3"/>
        <v>-923024.99999999977</v>
      </c>
      <c r="J32" s="41">
        <f t="shared" si="4"/>
        <v>-923024.99999999977</v>
      </c>
      <c r="K32" s="41"/>
    </row>
    <row r="33" spans="1:11" x14ac:dyDescent="0.2">
      <c r="A33" s="31">
        <v>36739</v>
      </c>
      <c r="B33" s="15"/>
      <c r="C33" s="16" t="s">
        <v>36</v>
      </c>
      <c r="D33" s="32">
        <v>2.3650000000000002</v>
      </c>
      <c r="E33" s="15"/>
      <c r="F33" s="18">
        <f>15000*31</f>
        <v>465000</v>
      </c>
      <c r="G33" s="32">
        <v>3.77</v>
      </c>
      <c r="H33" s="61"/>
      <c r="I33" s="17">
        <f t="shared" si="3"/>
        <v>-653324.99999999988</v>
      </c>
      <c r="J33" s="41">
        <f t="shared" si="4"/>
        <v>-653324.99999999988</v>
      </c>
      <c r="K33" s="41"/>
    </row>
    <row r="34" spans="1:11" x14ac:dyDescent="0.2">
      <c r="A34" s="31">
        <v>36770</v>
      </c>
      <c r="B34" s="15"/>
      <c r="C34" s="16" t="s">
        <v>36</v>
      </c>
      <c r="D34" s="32">
        <v>2.3650000000000002</v>
      </c>
      <c r="E34" s="15"/>
      <c r="F34" s="18">
        <f>15000*30</f>
        <v>450000</v>
      </c>
      <c r="G34" s="32">
        <v>4.5</v>
      </c>
      <c r="H34" s="61"/>
      <c r="I34" s="17">
        <f t="shared" si="3"/>
        <v>-960749.99999999988</v>
      </c>
      <c r="J34" s="41">
        <f t="shared" si="4"/>
        <v>-960749.99999999988</v>
      </c>
      <c r="K34" s="41"/>
    </row>
    <row r="35" spans="1:11" x14ac:dyDescent="0.2">
      <c r="A35" s="31">
        <v>36800</v>
      </c>
      <c r="B35" s="15"/>
      <c r="C35" s="16" t="s">
        <v>36</v>
      </c>
      <c r="D35" s="32">
        <v>2.3650000000000002</v>
      </c>
      <c r="E35" s="15"/>
      <c r="F35" s="18">
        <f>15000*31</f>
        <v>465000</v>
      </c>
      <c r="G35" s="32">
        <v>5.15</v>
      </c>
      <c r="H35" s="61"/>
      <c r="I35" s="17">
        <f t="shared" si="3"/>
        <v>-1295025</v>
      </c>
      <c r="J35" s="41">
        <f t="shared" si="4"/>
        <v>-1295025</v>
      </c>
      <c r="K35" s="41"/>
    </row>
    <row r="36" spans="1:11" x14ac:dyDescent="0.2">
      <c r="A36" s="31">
        <v>36831</v>
      </c>
      <c r="B36" s="15"/>
      <c r="C36" s="16" t="s">
        <v>36</v>
      </c>
      <c r="D36" s="32">
        <v>2.3650000000000002</v>
      </c>
      <c r="E36" s="15"/>
      <c r="F36" s="18">
        <f>15000*30</f>
        <v>450000</v>
      </c>
      <c r="G36" s="32">
        <v>4.5199999999999996</v>
      </c>
      <c r="H36" s="32"/>
      <c r="I36" s="17">
        <f t="shared" si="3"/>
        <v>-969749.99999999977</v>
      </c>
      <c r="J36" s="41">
        <f t="shared" si="4"/>
        <v>-969749.99999999977</v>
      </c>
      <c r="K36" s="41"/>
    </row>
    <row r="37" spans="1:11" x14ac:dyDescent="0.2">
      <c r="A37" s="31">
        <v>36861</v>
      </c>
      <c r="B37" s="15"/>
      <c r="C37" s="16" t="s">
        <v>36</v>
      </c>
      <c r="D37" s="32">
        <v>2.3650000000000002</v>
      </c>
      <c r="E37" s="15"/>
      <c r="F37" s="18">
        <f>15000*31</f>
        <v>465000</v>
      </c>
      <c r="G37" s="32">
        <v>6.27</v>
      </c>
      <c r="H37" s="32"/>
      <c r="I37" s="17">
        <f t="shared" si="3"/>
        <v>-1815824.9999999998</v>
      </c>
      <c r="J37" s="41">
        <f t="shared" si="4"/>
        <v>-1815824.9999999998</v>
      </c>
      <c r="K37" s="41"/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-7783649.9999999991</v>
      </c>
      <c r="J39" s="33">
        <f>SUM(J26:J38)</f>
        <v>-7783649.9999999991</v>
      </c>
      <c r="K39" s="33">
        <f>SUM(K26:K38)</f>
        <v>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37</v>
      </c>
    </row>
    <row r="45" spans="1:11" x14ac:dyDescent="0.2">
      <c r="I45" s="148"/>
    </row>
  </sheetData>
  <mergeCells count="1">
    <mergeCell ref="A4:K4"/>
  </mergeCells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opLeftCell="D22" workbookViewId="0">
      <selection activeCell="I41" sqref="I4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 t="s">
        <v>111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1" x14ac:dyDescent="0.2">
      <c r="A5" s="173"/>
      <c r="B5" s="173"/>
      <c r="C5" s="173"/>
    </row>
    <row r="6" spans="1:11" s="7" customFormat="1" x14ac:dyDescent="0.2">
      <c r="A6" s="8" t="s">
        <v>41</v>
      </c>
      <c r="B6" s="9" t="s">
        <v>3</v>
      </c>
      <c r="C6" s="9" t="s">
        <v>3</v>
      </c>
      <c r="D6" s="6" t="s">
        <v>85</v>
      </c>
      <c r="E6" s="6"/>
      <c r="F6" s="6" t="s">
        <v>115</v>
      </c>
      <c r="G6" s="6" t="s">
        <v>32</v>
      </c>
      <c r="H6" s="6"/>
      <c r="I6" s="165" t="s">
        <v>44</v>
      </c>
      <c r="J6" s="166"/>
      <c r="K6" s="16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116</v>
      </c>
      <c r="G7" s="9" t="s">
        <v>110</v>
      </c>
      <c r="H7" s="9"/>
      <c r="I7" s="162" t="s">
        <v>44</v>
      </c>
      <c r="J7" s="163"/>
      <c r="K7" s="164"/>
    </row>
    <row r="8" spans="1:11" s="7" customFormat="1" x14ac:dyDescent="0.2">
      <c r="A8" s="172"/>
      <c r="B8" s="172"/>
      <c r="C8" s="172"/>
      <c r="D8" s="9" t="s">
        <v>12</v>
      </c>
      <c r="E8" s="9"/>
      <c r="F8" s="9"/>
      <c r="G8" s="9" t="s">
        <v>12</v>
      </c>
      <c r="H8" s="9"/>
      <c r="I8" s="9" t="s">
        <v>19</v>
      </c>
      <c r="J8" s="9" t="s">
        <v>20</v>
      </c>
      <c r="K8" s="10" t="s">
        <v>21</v>
      </c>
    </row>
    <row r="9" spans="1:11" s="7" customFormat="1" x14ac:dyDescent="0.2">
      <c r="A9" s="8"/>
      <c r="B9" s="9"/>
      <c r="C9" s="9"/>
      <c r="D9" s="9"/>
      <c r="E9" s="9"/>
      <c r="F9" s="9"/>
      <c r="G9" s="9" t="s">
        <v>114</v>
      </c>
      <c r="H9" s="9"/>
      <c r="I9" s="9"/>
      <c r="J9" s="9"/>
      <c r="K9" s="10"/>
    </row>
    <row r="10" spans="1:11" x14ac:dyDescent="0.2">
      <c r="A10" s="11"/>
      <c r="B10" s="12"/>
      <c r="C10" s="12"/>
      <c r="D10" s="161"/>
      <c r="E10" s="12"/>
      <c r="F10" s="12"/>
      <c r="G10" s="51" t="s">
        <v>113</v>
      </c>
      <c r="H10" s="13" t="s">
        <v>6</v>
      </c>
      <c r="I10" s="58" t="s">
        <v>24</v>
      </c>
      <c r="J10" s="58" t="s">
        <v>24</v>
      </c>
      <c r="K10" s="59" t="s">
        <v>24</v>
      </c>
    </row>
    <row r="11" spans="1:11" x14ac:dyDescent="0.2">
      <c r="A11" s="158">
        <v>36848</v>
      </c>
      <c r="B11" s="15"/>
      <c r="C11" s="16" t="s">
        <v>32</v>
      </c>
      <c r="D11" s="32">
        <v>5.8849999999999998</v>
      </c>
      <c r="E11" s="15"/>
      <c r="F11" s="18">
        <v>-9615</v>
      </c>
      <c r="G11" s="32"/>
      <c r="H11" s="32"/>
      <c r="I11" s="17">
        <f>+F11*D11</f>
        <v>-56584.275000000001</v>
      </c>
      <c r="J11" s="41">
        <f>+I11</f>
        <v>-56584.275000000001</v>
      </c>
      <c r="K11" s="41"/>
    </row>
    <row r="12" spans="1:11" x14ac:dyDescent="0.2">
      <c r="A12" s="158">
        <f>+A11+1</f>
        <v>36849</v>
      </c>
      <c r="B12" s="15"/>
      <c r="C12" s="16" t="s">
        <v>32</v>
      </c>
      <c r="D12" s="32">
        <v>5.8849999999999998</v>
      </c>
      <c r="E12" s="15"/>
      <c r="F12" s="18">
        <v>-9615</v>
      </c>
      <c r="G12" s="32"/>
      <c r="H12" s="32"/>
      <c r="I12" s="17">
        <f t="shared" ref="I12:I23" si="0">+F12*D12</f>
        <v>-56584.275000000001</v>
      </c>
      <c r="J12" s="41">
        <f t="shared" ref="J12:J23" si="1">+I12</f>
        <v>-56584.275000000001</v>
      </c>
      <c r="K12" s="41"/>
    </row>
    <row r="13" spans="1:11" x14ac:dyDescent="0.2">
      <c r="A13" s="158">
        <f t="shared" ref="A13:A23" si="2">+A12+1</f>
        <v>36850</v>
      </c>
      <c r="B13" s="15"/>
      <c r="C13" s="16" t="s">
        <v>32</v>
      </c>
      <c r="D13" s="32">
        <v>5.8849999999999998</v>
      </c>
      <c r="E13" s="15"/>
      <c r="F13" s="18">
        <v>-9615</v>
      </c>
      <c r="G13" s="32"/>
      <c r="H13" s="32"/>
      <c r="I13" s="17">
        <f t="shared" si="0"/>
        <v>-56584.275000000001</v>
      </c>
      <c r="J13" s="41">
        <f t="shared" si="1"/>
        <v>-56584.275000000001</v>
      </c>
      <c r="K13" s="41"/>
    </row>
    <row r="14" spans="1:11" x14ac:dyDescent="0.2">
      <c r="A14" s="158">
        <f t="shared" si="2"/>
        <v>36851</v>
      </c>
      <c r="B14" s="15"/>
      <c r="C14" s="16" t="s">
        <v>32</v>
      </c>
      <c r="D14" s="32">
        <v>5.8849999999999998</v>
      </c>
      <c r="E14" s="15"/>
      <c r="F14" s="18">
        <v>-9615</v>
      </c>
      <c r="G14" s="32"/>
      <c r="H14" s="32"/>
      <c r="I14" s="17">
        <f t="shared" si="0"/>
        <v>-56584.275000000001</v>
      </c>
      <c r="J14" s="41">
        <f t="shared" si="1"/>
        <v>-56584.275000000001</v>
      </c>
      <c r="K14" s="41"/>
    </row>
    <row r="15" spans="1:11" x14ac:dyDescent="0.2">
      <c r="A15" s="158">
        <f t="shared" si="2"/>
        <v>36852</v>
      </c>
      <c r="B15" s="15"/>
      <c r="C15" s="16" t="s">
        <v>32</v>
      </c>
      <c r="D15" s="32">
        <v>5.8849999999999998</v>
      </c>
      <c r="E15" s="15"/>
      <c r="F15" s="18">
        <v>-9615</v>
      </c>
      <c r="G15" s="32"/>
      <c r="H15" s="32"/>
      <c r="I15" s="17">
        <f t="shared" si="0"/>
        <v>-56584.275000000001</v>
      </c>
      <c r="J15" s="41">
        <f t="shared" si="1"/>
        <v>-56584.275000000001</v>
      </c>
      <c r="K15" s="41"/>
    </row>
    <row r="16" spans="1:11" x14ac:dyDescent="0.2">
      <c r="A16" s="158">
        <f t="shared" si="2"/>
        <v>36853</v>
      </c>
      <c r="B16" s="15"/>
      <c r="C16" s="16" t="s">
        <v>32</v>
      </c>
      <c r="D16" s="32">
        <v>5.8849999999999998</v>
      </c>
      <c r="E16" s="15"/>
      <c r="F16" s="18">
        <v>-9615</v>
      </c>
      <c r="G16" s="32"/>
      <c r="H16" s="32"/>
      <c r="I16" s="17">
        <f t="shared" si="0"/>
        <v>-56584.275000000001</v>
      </c>
      <c r="J16" s="41">
        <f t="shared" si="1"/>
        <v>-56584.275000000001</v>
      </c>
      <c r="K16" s="41"/>
    </row>
    <row r="17" spans="1:11" x14ac:dyDescent="0.2">
      <c r="A17" s="158">
        <f t="shared" si="2"/>
        <v>36854</v>
      </c>
      <c r="B17" s="15"/>
      <c r="C17" s="16" t="s">
        <v>32</v>
      </c>
      <c r="D17" s="32">
        <v>5.8849999999999998</v>
      </c>
      <c r="E17" s="15"/>
      <c r="F17" s="18">
        <v>-9615</v>
      </c>
      <c r="G17" s="32"/>
      <c r="H17" s="32"/>
      <c r="I17" s="17">
        <f t="shared" si="0"/>
        <v>-56584.275000000001</v>
      </c>
      <c r="J17" s="41">
        <f t="shared" si="1"/>
        <v>-56584.275000000001</v>
      </c>
      <c r="K17" s="41"/>
    </row>
    <row r="18" spans="1:11" x14ac:dyDescent="0.2">
      <c r="A18" s="158">
        <f>+A17+1</f>
        <v>36855</v>
      </c>
      <c r="B18" s="15"/>
      <c r="C18" s="16" t="s">
        <v>32</v>
      </c>
      <c r="D18" s="32">
        <v>5.8849999999999998</v>
      </c>
      <c r="E18" s="15"/>
      <c r="F18" s="18">
        <v>-9615</v>
      </c>
      <c r="G18" s="32"/>
      <c r="H18" s="32"/>
      <c r="I18" s="17">
        <f t="shared" si="0"/>
        <v>-56584.275000000001</v>
      </c>
      <c r="J18" s="41">
        <f t="shared" si="1"/>
        <v>-56584.275000000001</v>
      </c>
      <c r="K18" s="41"/>
    </row>
    <row r="19" spans="1:11" x14ac:dyDescent="0.2">
      <c r="A19" s="158">
        <f t="shared" si="2"/>
        <v>36856</v>
      </c>
      <c r="B19" s="15"/>
      <c r="C19" s="16" t="s">
        <v>32</v>
      </c>
      <c r="D19" s="32">
        <v>5.8849999999999998</v>
      </c>
      <c r="E19" s="15"/>
      <c r="F19" s="18">
        <v>-9615</v>
      </c>
      <c r="G19" s="32"/>
      <c r="H19" s="32"/>
      <c r="I19" s="17">
        <f t="shared" si="0"/>
        <v>-56584.275000000001</v>
      </c>
      <c r="J19" s="41">
        <f t="shared" si="1"/>
        <v>-56584.275000000001</v>
      </c>
      <c r="K19" s="41"/>
    </row>
    <row r="20" spans="1:11" x14ac:dyDescent="0.2">
      <c r="A20" s="158">
        <f t="shared" si="2"/>
        <v>36857</v>
      </c>
      <c r="B20" s="15"/>
      <c r="C20" s="16" t="s">
        <v>32</v>
      </c>
      <c r="D20" s="32">
        <v>5.8849999999999998</v>
      </c>
      <c r="E20" s="15"/>
      <c r="F20" s="18">
        <v>-9615</v>
      </c>
      <c r="G20" s="32"/>
      <c r="H20" s="32"/>
      <c r="I20" s="17">
        <f t="shared" si="0"/>
        <v>-56584.275000000001</v>
      </c>
      <c r="J20" s="41">
        <f t="shared" si="1"/>
        <v>-56584.275000000001</v>
      </c>
      <c r="K20" s="41"/>
    </row>
    <row r="21" spans="1:11" x14ac:dyDescent="0.2">
      <c r="A21" s="158">
        <f t="shared" si="2"/>
        <v>36858</v>
      </c>
      <c r="B21" s="15"/>
      <c r="C21" s="16" t="s">
        <v>32</v>
      </c>
      <c r="D21" s="32">
        <v>5.8849999999999998</v>
      </c>
      <c r="E21" s="15"/>
      <c r="F21" s="18">
        <v>-9615</v>
      </c>
      <c r="G21" s="32"/>
      <c r="H21" s="32"/>
      <c r="I21" s="17">
        <f t="shared" si="0"/>
        <v>-56584.275000000001</v>
      </c>
      <c r="J21" s="41">
        <f t="shared" si="1"/>
        <v>-56584.275000000001</v>
      </c>
      <c r="K21" s="41"/>
    </row>
    <row r="22" spans="1:11" x14ac:dyDescent="0.2">
      <c r="A22" s="158">
        <f>+A21+1</f>
        <v>36859</v>
      </c>
      <c r="B22" s="15"/>
      <c r="C22" s="16" t="s">
        <v>32</v>
      </c>
      <c r="D22" s="32">
        <v>5.8849999999999998</v>
      </c>
      <c r="E22" s="15"/>
      <c r="F22" s="18">
        <v>-9615</v>
      </c>
      <c r="G22" s="32"/>
      <c r="H22" s="32"/>
      <c r="I22" s="17">
        <f t="shared" si="0"/>
        <v>-56584.275000000001</v>
      </c>
      <c r="J22" s="41">
        <f t="shared" si="1"/>
        <v>-56584.275000000001</v>
      </c>
      <c r="K22" s="41"/>
    </row>
    <row r="23" spans="1:11" x14ac:dyDescent="0.2">
      <c r="A23" s="158">
        <f t="shared" si="2"/>
        <v>36860</v>
      </c>
      <c r="B23" s="15"/>
      <c r="C23" s="16" t="s">
        <v>32</v>
      </c>
      <c r="D23" s="32">
        <v>5.8849999999999998</v>
      </c>
      <c r="E23" s="15"/>
      <c r="F23" s="18">
        <v>-9615</v>
      </c>
      <c r="G23" s="15"/>
      <c r="H23" s="32"/>
      <c r="I23" s="17">
        <f t="shared" si="0"/>
        <v>-56584.275000000001</v>
      </c>
      <c r="J23" s="41">
        <f t="shared" si="1"/>
        <v>-56584.275000000001</v>
      </c>
      <c r="K23" s="41"/>
    </row>
    <row r="24" spans="1:11" x14ac:dyDescent="0.2">
      <c r="A24" s="158"/>
      <c r="B24" s="15"/>
      <c r="C24" s="15"/>
      <c r="D24" s="15"/>
      <c r="E24" s="15"/>
      <c r="F24" s="21">
        <f>SUM(F11:F23)</f>
        <v>-124995</v>
      </c>
      <c r="G24" s="15"/>
      <c r="H24" s="15"/>
      <c r="I24" s="35">
        <f>SUM(I11:I23)</f>
        <v>-735595.57500000019</v>
      </c>
      <c r="J24" s="35">
        <f>SUM(J11:J23)</f>
        <v>-735595.57500000019</v>
      </c>
      <c r="K24" s="35">
        <f>SUM(K11:K22)</f>
        <v>0</v>
      </c>
    </row>
    <row r="25" spans="1:11" x14ac:dyDescent="0.2">
      <c r="A25" s="158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8"/>
      <c r="B26" s="15"/>
      <c r="C26" s="15"/>
      <c r="D26" s="15"/>
      <c r="E26" s="15"/>
      <c r="F26" s="38"/>
      <c r="G26" s="15"/>
      <c r="H26" s="15"/>
      <c r="I26" s="54"/>
      <c r="J26" s="47"/>
      <c r="K26" s="47"/>
    </row>
    <row r="27" spans="1:11" x14ac:dyDescent="0.2">
      <c r="A27" s="158">
        <v>36848</v>
      </c>
      <c r="B27" s="15"/>
      <c r="C27" s="16" t="s">
        <v>85</v>
      </c>
      <c r="D27" s="32"/>
      <c r="E27" s="15"/>
      <c r="F27" s="18">
        <v>9615</v>
      </c>
      <c r="G27" s="32">
        <v>5.6749999999999998</v>
      </c>
      <c r="H27" s="32"/>
      <c r="I27" s="17">
        <f>+G27*F27</f>
        <v>54565.125</v>
      </c>
      <c r="J27" s="41">
        <f>+I27</f>
        <v>54565.125</v>
      </c>
      <c r="K27" s="41"/>
    </row>
    <row r="28" spans="1:11" x14ac:dyDescent="0.2">
      <c r="A28" s="158">
        <f t="shared" ref="A28:A39" si="3">+A27+1</f>
        <v>36849</v>
      </c>
      <c r="B28" s="15"/>
      <c r="C28" s="16" t="s">
        <v>85</v>
      </c>
      <c r="D28" s="32"/>
      <c r="E28" s="15"/>
      <c r="F28" s="18">
        <v>9615</v>
      </c>
      <c r="G28" s="32">
        <v>5.6749999999999998</v>
      </c>
      <c r="H28" s="32"/>
      <c r="I28" s="17">
        <f t="shared" ref="I28:I39" si="4">+G28*F28</f>
        <v>54565.125</v>
      </c>
      <c r="J28" s="41">
        <f t="shared" ref="J28:J39" si="5">+I28</f>
        <v>54565.125</v>
      </c>
      <c r="K28" s="41"/>
    </row>
    <row r="29" spans="1:11" x14ac:dyDescent="0.2">
      <c r="A29" s="158">
        <f t="shared" si="3"/>
        <v>36850</v>
      </c>
      <c r="B29" s="15"/>
      <c r="C29" s="16" t="s">
        <v>85</v>
      </c>
      <c r="D29" s="32"/>
      <c r="E29" s="15"/>
      <c r="F29" s="18">
        <v>9615</v>
      </c>
      <c r="G29" s="32">
        <v>5.6749999999999998</v>
      </c>
      <c r="H29" s="32"/>
      <c r="I29" s="17">
        <f t="shared" si="4"/>
        <v>54565.125</v>
      </c>
      <c r="J29" s="41">
        <f t="shared" si="5"/>
        <v>54565.125</v>
      </c>
      <c r="K29" s="41"/>
    </row>
    <row r="30" spans="1:11" x14ac:dyDescent="0.2">
      <c r="A30" s="158">
        <f t="shared" si="3"/>
        <v>36851</v>
      </c>
      <c r="B30" s="15"/>
      <c r="C30" s="16" t="s">
        <v>85</v>
      </c>
      <c r="D30" s="32"/>
      <c r="E30" s="15"/>
      <c r="F30" s="18">
        <v>9615</v>
      </c>
      <c r="G30" s="32">
        <v>6.28</v>
      </c>
      <c r="H30" s="32"/>
      <c r="I30" s="17">
        <f t="shared" si="4"/>
        <v>60382.200000000004</v>
      </c>
      <c r="J30" s="41">
        <f t="shared" si="5"/>
        <v>60382.200000000004</v>
      </c>
      <c r="K30" s="41"/>
    </row>
    <row r="31" spans="1:11" x14ac:dyDescent="0.2">
      <c r="A31" s="158">
        <f t="shared" si="3"/>
        <v>36852</v>
      </c>
      <c r="B31" s="15"/>
      <c r="C31" s="16" t="s">
        <v>85</v>
      </c>
      <c r="D31" s="32"/>
      <c r="E31" s="15"/>
      <c r="F31" s="18">
        <v>9615</v>
      </c>
      <c r="G31" s="32">
        <v>6.3949999999999996</v>
      </c>
      <c r="H31" s="32"/>
      <c r="I31" s="17">
        <f t="shared" si="4"/>
        <v>61487.924999999996</v>
      </c>
      <c r="J31" s="41">
        <f t="shared" si="5"/>
        <v>61487.924999999996</v>
      </c>
      <c r="K31" s="41"/>
    </row>
    <row r="32" spans="1:11" x14ac:dyDescent="0.2">
      <c r="A32" s="158">
        <f t="shared" si="3"/>
        <v>36853</v>
      </c>
      <c r="B32" s="15"/>
      <c r="C32" s="16" t="s">
        <v>85</v>
      </c>
      <c r="D32" s="32"/>
      <c r="E32" s="15"/>
      <c r="F32" s="18">
        <v>9615</v>
      </c>
      <c r="G32" s="32">
        <v>6.2549999999999999</v>
      </c>
      <c r="H32" s="32"/>
      <c r="I32" s="17">
        <f t="shared" si="4"/>
        <v>60141.824999999997</v>
      </c>
      <c r="J32" s="41">
        <f t="shared" si="5"/>
        <v>60141.824999999997</v>
      </c>
      <c r="K32" s="41"/>
    </row>
    <row r="33" spans="1:11" x14ac:dyDescent="0.2">
      <c r="A33" s="158">
        <f t="shared" si="3"/>
        <v>36854</v>
      </c>
      <c r="B33" s="15"/>
      <c r="C33" s="16" t="s">
        <v>85</v>
      </c>
      <c r="D33" s="32"/>
      <c r="E33" s="15"/>
      <c r="F33" s="18">
        <v>9615</v>
      </c>
      <c r="G33" s="32">
        <v>6.2549999999999999</v>
      </c>
      <c r="H33" s="32"/>
      <c r="I33" s="17">
        <f t="shared" si="4"/>
        <v>60141.824999999997</v>
      </c>
      <c r="J33" s="41">
        <f t="shared" si="5"/>
        <v>60141.824999999997</v>
      </c>
      <c r="K33" s="41"/>
    </row>
    <row r="34" spans="1:11" x14ac:dyDescent="0.2">
      <c r="A34" s="158">
        <f t="shared" si="3"/>
        <v>36855</v>
      </c>
      <c r="B34" s="15"/>
      <c r="C34" s="16" t="s">
        <v>85</v>
      </c>
      <c r="D34" s="32"/>
      <c r="E34" s="15"/>
      <c r="F34" s="18">
        <v>9615</v>
      </c>
      <c r="G34" s="32">
        <v>6.2549999999999999</v>
      </c>
      <c r="H34" s="32"/>
      <c r="I34" s="17">
        <f t="shared" si="4"/>
        <v>60141.824999999997</v>
      </c>
      <c r="J34" s="41">
        <f t="shared" si="5"/>
        <v>60141.824999999997</v>
      </c>
      <c r="K34" s="41"/>
    </row>
    <row r="35" spans="1:11" x14ac:dyDescent="0.2">
      <c r="A35" s="158">
        <f t="shared" si="3"/>
        <v>36856</v>
      </c>
      <c r="B35" s="15"/>
      <c r="C35" s="16" t="s">
        <v>85</v>
      </c>
      <c r="D35" s="32"/>
      <c r="E35" s="15"/>
      <c r="F35" s="18">
        <v>9615</v>
      </c>
      <c r="G35" s="32">
        <v>6.2549999999999999</v>
      </c>
      <c r="H35" s="32"/>
      <c r="I35" s="17">
        <f t="shared" si="4"/>
        <v>60141.824999999997</v>
      </c>
      <c r="J35" s="41">
        <f t="shared" si="5"/>
        <v>60141.824999999997</v>
      </c>
      <c r="K35" s="41"/>
    </row>
    <row r="36" spans="1:11" x14ac:dyDescent="0.2">
      <c r="A36" s="158">
        <f t="shared" si="3"/>
        <v>36857</v>
      </c>
      <c r="B36" s="15"/>
      <c r="C36" s="16" t="s">
        <v>85</v>
      </c>
      <c r="D36" s="32"/>
      <c r="E36" s="15"/>
      <c r="F36" s="18">
        <v>9615</v>
      </c>
      <c r="G36" s="32">
        <v>6.2549999999999999</v>
      </c>
      <c r="H36" s="32"/>
      <c r="I36" s="17">
        <f t="shared" si="4"/>
        <v>60141.824999999997</v>
      </c>
      <c r="J36" s="41">
        <f t="shared" si="5"/>
        <v>60141.824999999997</v>
      </c>
      <c r="K36" s="41"/>
    </row>
    <row r="37" spans="1:11" x14ac:dyDescent="0.2">
      <c r="A37" s="158">
        <f t="shared" si="3"/>
        <v>36858</v>
      </c>
      <c r="B37" s="15"/>
      <c r="C37" s="16" t="s">
        <v>85</v>
      </c>
      <c r="D37" s="32"/>
      <c r="E37" s="15"/>
      <c r="F37" s="18">
        <v>9615</v>
      </c>
      <c r="G37" s="32">
        <v>6.23</v>
      </c>
      <c r="H37" s="32"/>
      <c r="I37" s="17">
        <f t="shared" si="4"/>
        <v>59901.450000000004</v>
      </c>
      <c r="J37" s="41">
        <f t="shared" si="5"/>
        <v>59901.450000000004</v>
      </c>
      <c r="K37" s="41"/>
    </row>
    <row r="38" spans="1:11" x14ac:dyDescent="0.2">
      <c r="A38" s="158">
        <f t="shared" si="3"/>
        <v>36859</v>
      </c>
      <c r="B38" s="15"/>
      <c r="C38" s="16" t="s">
        <v>85</v>
      </c>
      <c r="D38" s="32"/>
      <c r="E38" s="15"/>
      <c r="F38" s="18">
        <v>9615</v>
      </c>
      <c r="G38" s="61">
        <v>5.8949999999999996</v>
      </c>
      <c r="H38" s="32"/>
      <c r="I38" s="17">
        <f t="shared" si="4"/>
        <v>56680.424999999996</v>
      </c>
      <c r="J38" s="41">
        <f t="shared" si="5"/>
        <v>56680.424999999996</v>
      </c>
      <c r="K38" s="41"/>
    </row>
    <row r="39" spans="1:11" x14ac:dyDescent="0.2">
      <c r="A39" s="158">
        <f t="shared" si="3"/>
        <v>36860</v>
      </c>
      <c r="B39" s="15"/>
      <c r="C39" s="16" t="s">
        <v>85</v>
      </c>
      <c r="D39" s="32"/>
      <c r="E39" s="15"/>
      <c r="F39" s="18">
        <v>9615</v>
      </c>
      <c r="G39" s="61">
        <v>5.9550000000000001</v>
      </c>
      <c r="H39" s="32"/>
      <c r="I39" s="17">
        <f t="shared" si="4"/>
        <v>57257.324999999997</v>
      </c>
      <c r="J39" s="41">
        <f t="shared" si="5"/>
        <v>57257.324999999997</v>
      </c>
      <c r="K39" s="41"/>
    </row>
    <row r="40" spans="1:11" x14ac:dyDescent="0.2">
      <c r="A40" s="158"/>
      <c r="B40" s="15"/>
      <c r="C40" s="15"/>
      <c r="D40" s="15"/>
      <c r="E40" s="15"/>
      <c r="F40" s="21">
        <f>SUM(F27:F39)</f>
        <v>124995</v>
      </c>
      <c r="G40" s="15"/>
      <c r="H40" s="15"/>
      <c r="I40" s="35">
        <f>SUM(I27:I39)</f>
        <v>760113.82499999995</v>
      </c>
      <c r="J40" s="35">
        <f>SUM(J27:J39)</f>
        <v>760113.82499999995</v>
      </c>
      <c r="K40" s="35">
        <f>SUM(K27:K38)</f>
        <v>0</v>
      </c>
    </row>
    <row r="41" spans="1:11" x14ac:dyDescent="0.2">
      <c r="A41" s="158"/>
      <c r="B41" s="15"/>
      <c r="C41" s="15"/>
      <c r="D41" s="15"/>
      <c r="E41" s="15"/>
      <c r="F41" s="38"/>
      <c r="G41" s="15"/>
      <c r="H41" s="15"/>
      <c r="I41" s="54"/>
      <c r="J41" s="47"/>
      <c r="K41" s="47"/>
    </row>
    <row r="42" spans="1:11" ht="13.5" thickBot="1" x14ac:dyDescent="0.25">
      <c r="A42" s="158"/>
      <c r="B42" s="15"/>
      <c r="C42" s="15"/>
      <c r="D42" s="15"/>
      <c r="E42" s="15"/>
      <c r="F42" s="23">
        <f>+F40+F24</f>
        <v>0</v>
      </c>
      <c r="G42" s="15"/>
      <c r="H42" s="15"/>
      <c r="I42" s="24">
        <f>+I40+I24</f>
        <v>24518.249999999767</v>
      </c>
      <c r="J42" s="24">
        <f>+J40+J24</f>
        <v>24518.249999999767</v>
      </c>
      <c r="K42" s="24">
        <f>+K40+K24</f>
        <v>0</v>
      </c>
    </row>
    <row r="43" spans="1:11" ht="13.5" thickTop="1" x14ac:dyDescent="0.2">
      <c r="A43" s="158"/>
      <c r="B43" s="15"/>
      <c r="C43" s="15"/>
      <c r="D43" s="15"/>
      <c r="E43" s="15"/>
      <c r="F43" s="38"/>
      <c r="G43" s="15"/>
      <c r="H43" s="15"/>
      <c r="I43" s="54"/>
      <c r="J43" s="47"/>
      <c r="K43" s="47"/>
    </row>
    <row r="44" spans="1:11" x14ac:dyDescent="0.2">
      <c r="A44" s="158"/>
      <c r="B44" s="15"/>
      <c r="C44" s="15"/>
      <c r="D44" s="15"/>
      <c r="E44" s="15"/>
      <c r="F44" s="38"/>
      <c r="G44" s="15"/>
      <c r="H44" s="15"/>
      <c r="I44" s="54"/>
      <c r="J44" s="47"/>
      <c r="K44" s="47"/>
    </row>
    <row r="45" spans="1:11" x14ac:dyDescent="0.2">
      <c r="A45" s="158"/>
      <c r="B45" s="15"/>
      <c r="C45" s="15"/>
      <c r="D45" s="15"/>
      <c r="E45" s="15"/>
      <c r="F45" s="20"/>
      <c r="G45" s="171"/>
      <c r="H45" s="36"/>
      <c r="I45" s="39"/>
      <c r="J45" s="39"/>
      <c r="K45" s="39"/>
    </row>
    <row r="46" spans="1:11" x14ac:dyDescent="0.2">
      <c r="A46" s="158"/>
      <c r="B46" s="15"/>
      <c r="C46" s="16"/>
      <c r="D46" s="32"/>
      <c r="E46" s="15"/>
      <c r="F46" s="18"/>
      <c r="G46" s="61"/>
      <c r="H46" s="32"/>
      <c r="I46" s="17"/>
      <c r="J46" s="41"/>
      <c r="K46" s="41"/>
    </row>
    <row r="47" spans="1:11" x14ac:dyDescent="0.2">
      <c r="A47" s="159"/>
      <c r="B47" s="26"/>
      <c r="C47" s="168"/>
      <c r="D47" s="169"/>
      <c r="E47" s="26"/>
      <c r="F47" s="65"/>
      <c r="G47" s="170"/>
      <c r="H47" s="169"/>
      <c r="I47" s="66"/>
      <c r="J47" s="122"/>
      <c r="K47" s="122"/>
    </row>
    <row r="48" spans="1:11" x14ac:dyDescent="0.2">
      <c r="A48" s="160"/>
    </row>
    <row r="49" spans="1:1" x14ac:dyDescent="0.2">
      <c r="A49" s="160"/>
    </row>
    <row r="50" spans="1:1" x14ac:dyDescent="0.2">
      <c r="A50" s="160"/>
    </row>
    <row r="51" spans="1:1" x14ac:dyDescent="0.2">
      <c r="A51" s="160"/>
    </row>
    <row r="52" spans="1:1" x14ac:dyDescent="0.2">
      <c r="A52" s="160"/>
    </row>
    <row r="53" spans="1:1" x14ac:dyDescent="0.2">
      <c r="A53" s="160"/>
    </row>
    <row r="54" spans="1:1" x14ac:dyDescent="0.2">
      <c r="A54" s="160"/>
    </row>
    <row r="55" spans="1:1" x14ac:dyDescent="0.2">
      <c r="A55" s="160"/>
    </row>
    <row r="56" spans="1:1" x14ac:dyDescent="0.2">
      <c r="A56" s="160"/>
    </row>
    <row r="57" spans="1:1" x14ac:dyDescent="0.2">
      <c r="A57" s="160"/>
    </row>
    <row r="58" spans="1:1" x14ac:dyDescent="0.2">
      <c r="A58" s="160"/>
    </row>
    <row r="59" spans="1:1" x14ac:dyDescent="0.2">
      <c r="A59" s="160"/>
    </row>
    <row r="60" spans="1:1" x14ac:dyDescent="0.2">
      <c r="A60" s="160"/>
    </row>
    <row r="61" spans="1:1" x14ac:dyDescent="0.2">
      <c r="A61" s="160"/>
    </row>
    <row r="62" spans="1:1" x14ac:dyDescent="0.2">
      <c r="A62" s="160"/>
    </row>
    <row r="63" spans="1:1" x14ac:dyDescent="0.2">
      <c r="A63" s="160"/>
    </row>
    <row r="64" spans="1:1" x14ac:dyDescent="0.2">
      <c r="A64" s="160"/>
    </row>
    <row r="65" spans="1:1" x14ac:dyDescent="0.2">
      <c r="A65" s="160"/>
    </row>
    <row r="66" spans="1:1" x14ac:dyDescent="0.2">
      <c r="A66" s="160"/>
    </row>
    <row r="67" spans="1:1" x14ac:dyDescent="0.2">
      <c r="A67" s="160"/>
    </row>
    <row r="68" spans="1:1" x14ac:dyDescent="0.2">
      <c r="A68" s="160"/>
    </row>
    <row r="69" spans="1:1" x14ac:dyDescent="0.2">
      <c r="A69" s="160"/>
    </row>
    <row r="70" spans="1:1" x14ac:dyDescent="0.2">
      <c r="A70" s="160"/>
    </row>
    <row r="71" spans="1:1" x14ac:dyDescent="0.2">
      <c r="A71" s="160"/>
    </row>
    <row r="72" spans="1:1" x14ac:dyDescent="0.2">
      <c r="A72" s="160"/>
    </row>
    <row r="73" spans="1:1" x14ac:dyDescent="0.2">
      <c r="A73" s="160"/>
    </row>
    <row r="74" spans="1:1" x14ac:dyDescent="0.2">
      <c r="A74" s="160"/>
    </row>
    <row r="75" spans="1:1" x14ac:dyDescent="0.2">
      <c r="A75" s="160"/>
    </row>
    <row r="76" spans="1:1" x14ac:dyDescent="0.2">
      <c r="A76" s="160"/>
    </row>
    <row r="77" spans="1:1" x14ac:dyDescent="0.2">
      <c r="A77" s="160"/>
    </row>
    <row r="78" spans="1:1" x14ac:dyDescent="0.2">
      <c r="A78" s="160"/>
    </row>
    <row r="79" spans="1:1" x14ac:dyDescent="0.2">
      <c r="A79" s="160"/>
    </row>
    <row r="80" spans="1:1" x14ac:dyDescent="0.2">
      <c r="A80" s="160"/>
    </row>
    <row r="81" spans="1:1" x14ac:dyDescent="0.2">
      <c r="A81" s="160"/>
    </row>
    <row r="82" spans="1:1" x14ac:dyDescent="0.2">
      <c r="A82" s="160"/>
    </row>
    <row r="83" spans="1:1" x14ac:dyDescent="0.2">
      <c r="A83" s="160"/>
    </row>
    <row r="84" spans="1:1" x14ac:dyDescent="0.2">
      <c r="A84" s="160"/>
    </row>
    <row r="85" spans="1:1" x14ac:dyDescent="0.2">
      <c r="A85" s="160"/>
    </row>
    <row r="86" spans="1:1" x14ac:dyDescent="0.2">
      <c r="A86" s="160"/>
    </row>
    <row r="87" spans="1:1" x14ac:dyDescent="0.2">
      <c r="A87" s="160"/>
    </row>
    <row r="88" spans="1:1" x14ac:dyDescent="0.2">
      <c r="A88" s="160"/>
    </row>
    <row r="89" spans="1:1" x14ac:dyDescent="0.2">
      <c r="A89" s="160"/>
    </row>
    <row r="90" spans="1:1" x14ac:dyDescent="0.2">
      <c r="A90" s="160"/>
    </row>
    <row r="91" spans="1:1" x14ac:dyDescent="0.2">
      <c r="A91" s="160"/>
    </row>
    <row r="92" spans="1:1" x14ac:dyDescent="0.2">
      <c r="A92" s="160"/>
    </row>
    <row r="93" spans="1:1" x14ac:dyDescent="0.2">
      <c r="A93" s="160"/>
    </row>
    <row r="94" spans="1:1" x14ac:dyDescent="0.2">
      <c r="A94" s="160"/>
    </row>
    <row r="95" spans="1:1" x14ac:dyDescent="0.2">
      <c r="A95" s="160"/>
    </row>
    <row r="96" spans="1:1" x14ac:dyDescent="0.2">
      <c r="A96" s="160"/>
    </row>
    <row r="97" spans="1:1" x14ac:dyDescent="0.2">
      <c r="A97" s="160"/>
    </row>
    <row r="98" spans="1:1" x14ac:dyDescent="0.2">
      <c r="A98" s="160"/>
    </row>
    <row r="99" spans="1:1" x14ac:dyDescent="0.2">
      <c r="A99" s="160"/>
    </row>
    <row r="100" spans="1:1" x14ac:dyDescent="0.2">
      <c r="A100" s="160"/>
    </row>
    <row r="101" spans="1:1" x14ac:dyDescent="0.2">
      <c r="A101" s="160"/>
    </row>
    <row r="102" spans="1:1" x14ac:dyDescent="0.2">
      <c r="A102" s="160"/>
    </row>
    <row r="103" spans="1:1" x14ac:dyDescent="0.2">
      <c r="A103" s="160"/>
    </row>
    <row r="104" spans="1:1" x14ac:dyDescent="0.2">
      <c r="A104" s="160"/>
    </row>
    <row r="105" spans="1:1" x14ac:dyDescent="0.2">
      <c r="A105" s="160"/>
    </row>
    <row r="106" spans="1:1" x14ac:dyDescent="0.2">
      <c r="A106" s="160"/>
    </row>
    <row r="107" spans="1:1" x14ac:dyDescent="0.2">
      <c r="A107" s="160"/>
    </row>
    <row r="108" spans="1:1" x14ac:dyDescent="0.2">
      <c r="A108" s="160"/>
    </row>
    <row r="109" spans="1:1" x14ac:dyDescent="0.2">
      <c r="A109" s="160"/>
    </row>
    <row r="110" spans="1:1" x14ac:dyDescent="0.2">
      <c r="A110" s="160"/>
    </row>
    <row r="111" spans="1:1" x14ac:dyDescent="0.2">
      <c r="A111" s="160"/>
    </row>
    <row r="112" spans="1:1" x14ac:dyDescent="0.2">
      <c r="A112" s="160"/>
    </row>
    <row r="113" spans="1:1" x14ac:dyDescent="0.2">
      <c r="A113" s="160"/>
    </row>
    <row r="114" spans="1:1" x14ac:dyDescent="0.2">
      <c r="A114" s="160"/>
    </row>
    <row r="115" spans="1:1" x14ac:dyDescent="0.2">
      <c r="A115" s="160"/>
    </row>
    <row r="116" spans="1:1" x14ac:dyDescent="0.2">
      <c r="A116" s="160"/>
    </row>
    <row r="117" spans="1:1" x14ac:dyDescent="0.2">
      <c r="A117" s="160"/>
    </row>
    <row r="118" spans="1:1" x14ac:dyDescent="0.2">
      <c r="A118" s="160"/>
    </row>
    <row r="119" spans="1:1" x14ac:dyDescent="0.2">
      <c r="A119" s="160"/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 t="s">
        <v>117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1" x14ac:dyDescent="0.2">
      <c r="A5" s="173"/>
      <c r="B5" s="173"/>
      <c r="C5" s="173"/>
    </row>
    <row r="6" spans="1:11" s="7" customFormat="1" x14ac:dyDescent="0.2">
      <c r="A6" s="8" t="s">
        <v>41</v>
      </c>
      <c r="B6" s="9" t="s">
        <v>3</v>
      </c>
      <c r="C6" s="9" t="s">
        <v>3</v>
      </c>
      <c r="D6" s="6" t="s">
        <v>32</v>
      </c>
      <c r="E6" s="6"/>
      <c r="F6" s="6" t="s">
        <v>115</v>
      </c>
      <c r="G6" s="6" t="s">
        <v>85</v>
      </c>
      <c r="H6" s="6"/>
      <c r="I6" s="165" t="s">
        <v>44</v>
      </c>
      <c r="J6" s="166"/>
      <c r="K6" s="16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116</v>
      </c>
      <c r="G7" s="9" t="s">
        <v>110</v>
      </c>
      <c r="H7" s="9"/>
      <c r="I7" s="162" t="s">
        <v>44</v>
      </c>
      <c r="J7" s="163"/>
      <c r="K7" s="164"/>
    </row>
    <row r="8" spans="1:11" s="7" customFormat="1" x14ac:dyDescent="0.2">
      <c r="A8" s="172"/>
      <c r="B8" s="172"/>
      <c r="C8" s="172"/>
      <c r="D8" s="9" t="s">
        <v>12</v>
      </c>
      <c r="E8" s="9"/>
      <c r="F8" s="9"/>
      <c r="G8" s="9" t="s">
        <v>12</v>
      </c>
      <c r="H8" s="9"/>
      <c r="I8" s="9" t="s">
        <v>19</v>
      </c>
      <c r="J8" s="9" t="s">
        <v>20</v>
      </c>
      <c r="K8" s="10" t="s">
        <v>21</v>
      </c>
    </row>
    <row r="9" spans="1:11" s="7" customFormat="1" x14ac:dyDescent="0.2">
      <c r="A9" s="8"/>
      <c r="B9" s="9"/>
      <c r="C9" s="9"/>
      <c r="D9" s="9"/>
      <c r="E9" s="9"/>
      <c r="F9" s="9"/>
      <c r="G9" s="9" t="s">
        <v>118</v>
      </c>
      <c r="H9" s="9"/>
      <c r="I9" s="9"/>
      <c r="J9" s="9"/>
      <c r="K9" s="10"/>
    </row>
    <row r="10" spans="1:11" x14ac:dyDescent="0.2">
      <c r="A10" s="11"/>
      <c r="B10" s="12"/>
      <c r="C10" s="12"/>
      <c r="D10" s="161"/>
      <c r="E10" s="12"/>
      <c r="F10" s="12"/>
      <c r="G10" s="51" t="s">
        <v>119</v>
      </c>
      <c r="H10" s="13" t="s">
        <v>6</v>
      </c>
      <c r="I10" s="58" t="s">
        <v>24</v>
      </c>
      <c r="J10" s="58" t="s">
        <v>24</v>
      </c>
      <c r="K10" s="59" t="s">
        <v>24</v>
      </c>
    </row>
    <row r="11" spans="1:11" x14ac:dyDescent="0.2">
      <c r="A11" s="158">
        <v>36848</v>
      </c>
      <c r="B11" s="15"/>
      <c r="C11" s="16" t="s">
        <v>85</v>
      </c>
      <c r="D11" s="32">
        <v>5.8550000000000004</v>
      </c>
      <c r="E11" s="15"/>
      <c r="F11" s="18">
        <v>9615</v>
      </c>
      <c r="G11" s="32"/>
      <c r="H11" s="32"/>
      <c r="I11" s="17">
        <f>+D11*F11</f>
        <v>56295.825000000004</v>
      </c>
      <c r="J11" s="41">
        <f>+I11</f>
        <v>56295.825000000004</v>
      </c>
      <c r="K11" s="41"/>
    </row>
    <row r="12" spans="1:11" x14ac:dyDescent="0.2">
      <c r="A12" s="158">
        <f>+A11+1</f>
        <v>36849</v>
      </c>
      <c r="B12" s="15"/>
      <c r="C12" s="16" t="s">
        <v>85</v>
      </c>
      <c r="D12" s="32">
        <v>5.8550000000000004</v>
      </c>
      <c r="E12" s="15"/>
      <c r="F12" s="18">
        <v>9615</v>
      </c>
      <c r="G12" s="32"/>
      <c r="H12" s="32"/>
      <c r="I12" s="17">
        <f t="shared" ref="I12:I23" si="0">+D12*F12</f>
        <v>56295.825000000004</v>
      </c>
      <c r="J12" s="41">
        <f t="shared" ref="J12:J23" si="1">+I12</f>
        <v>56295.825000000004</v>
      </c>
      <c r="K12" s="41"/>
    </row>
    <row r="13" spans="1:11" x14ac:dyDescent="0.2">
      <c r="A13" s="158">
        <f t="shared" ref="A13:A23" si="2">+A12+1</f>
        <v>36850</v>
      </c>
      <c r="B13" s="15"/>
      <c r="C13" s="16" t="s">
        <v>85</v>
      </c>
      <c r="D13" s="32">
        <v>5.8550000000000004</v>
      </c>
      <c r="E13" s="15"/>
      <c r="F13" s="18">
        <v>9615</v>
      </c>
      <c r="G13" s="32"/>
      <c r="H13" s="32"/>
      <c r="I13" s="17">
        <f t="shared" si="0"/>
        <v>56295.825000000004</v>
      </c>
      <c r="J13" s="41">
        <f t="shared" si="1"/>
        <v>56295.825000000004</v>
      </c>
      <c r="K13" s="41"/>
    </row>
    <row r="14" spans="1:11" x14ac:dyDescent="0.2">
      <c r="A14" s="158">
        <f t="shared" si="2"/>
        <v>36851</v>
      </c>
      <c r="B14" s="15"/>
      <c r="C14" s="16" t="s">
        <v>85</v>
      </c>
      <c r="D14" s="32">
        <v>5.8550000000000004</v>
      </c>
      <c r="E14" s="15"/>
      <c r="F14" s="18">
        <v>9615</v>
      </c>
      <c r="G14" s="32"/>
      <c r="H14" s="32"/>
      <c r="I14" s="17">
        <f t="shared" si="0"/>
        <v>56295.825000000004</v>
      </c>
      <c r="J14" s="41">
        <f t="shared" si="1"/>
        <v>56295.825000000004</v>
      </c>
      <c r="K14" s="41"/>
    </row>
    <row r="15" spans="1:11" x14ac:dyDescent="0.2">
      <c r="A15" s="158">
        <f t="shared" si="2"/>
        <v>36852</v>
      </c>
      <c r="B15" s="15"/>
      <c r="C15" s="16" t="s">
        <v>85</v>
      </c>
      <c r="D15" s="32">
        <v>5.8550000000000004</v>
      </c>
      <c r="E15" s="15"/>
      <c r="F15" s="18">
        <v>9615</v>
      </c>
      <c r="G15" s="32"/>
      <c r="H15" s="32"/>
      <c r="I15" s="17">
        <f t="shared" si="0"/>
        <v>56295.825000000004</v>
      </c>
      <c r="J15" s="41">
        <f t="shared" si="1"/>
        <v>56295.825000000004</v>
      </c>
      <c r="K15" s="41"/>
    </row>
    <row r="16" spans="1:11" x14ac:dyDescent="0.2">
      <c r="A16" s="158">
        <f t="shared" si="2"/>
        <v>36853</v>
      </c>
      <c r="B16" s="15"/>
      <c r="C16" s="16" t="s">
        <v>85</v>
      </c>
      <c r="D16" s="32">
        <v>5.8550000000000004</v>
      </c>
      <c r="E16" s="15"/>
      <c r="F16" s="18">
        <v>9615</v>
      </c>
      <c r="G16" s="32"/>
      <c r="H16" s="32"/>
      <c r="I16" s="17">
        <f t="shared" si="0"/>
        <v>56295.825000000004</v>
      </c>
      <c r="J16" s="41">
        <f t="shared" si="1"/>
        <v>56295.825000000004</v>
      </c>
      <c r="K16" s="41"/>
    </row>
    <row r="17" spans="1:11" x14ac:dyDescent="0.2">
      <c r="A17" s="158">
        <f t="shared" si="2"/>
        <v>36854</v>
      </c>
      <c r="B17" s="15"/>
      <c r="C17" s="16" t="s">
        <v>85</v>
      </c>
      <c r="D17" s="32">
        <v>5.8550000000000004</v>
      </c>
      <c r="E17" s="15"/>
      <c r="F17" s="18">
        <v>9615</v>
      </c>
      <c r="G17" s="32"/>
      <c r="H17" s="32"/>
      <c r="I17" s="17">
        <f t="shared" si="0"/>
        <v>56295.825000000004</v>
      </c>
      <c r="J17" s="41">
        <f t="shared" si="1"/>
        <v>56295.825000000004</v>
      </c>
      <c r="K17" s="41"/>
    </row>
    <row r="18" spans="1:11" x14ac:dyDescent="0.2">
      <c r="A18" s="158">
        <f>+A17+1</f>
        <v>36855</v>
      </c>
      <c r="B18" s="15"/>
      <c r="C18" s="16" t="s">
        <v>85</v>
      </c>
      <c r="D18" s="32">
        <v>5.8550000000000004</v>
      </c>
      <c r="E18" s="15"/>
      <c r="F18" s="18">
        <v>9615</v>
      </c>
      <c r="G18" s="32"/>
      <c r="H18" s="32"/>
      <c r="I18" s="17">
        <f t="shared" si="0"/>
        <v>56295.825000000004</v>
      </c>
      <c r="J18" s="41">
        <f t="shared" si="1"/>
        <v>56295.825000000004</v>
      </c>
      <c r="K18" s="41"/>
    </row>
    <row r="19" spans="1:11" x14ac:dyDescent="0.2">
      <c r="A19" s="158">
        <f t="shared" si="2"/>
        <v>36856</v>
      </c>
      <c r="B19" s="15"/>
      <c r="C19" s="16" t="s">
        <v>85</v>
      </c>
      <c r="D19" s="32">
        <v>5.8550000000000004</v>
      </c>
      <c r="E19" s="15"/>
      <c r="F19" s="18">
        <v>9615</v>
      </c>
      <c r="G19" s="32"/>
      <c r="H19" s="32"/>
      <c r="I19" s="17">
        <f t="shared" si="0"/>
        <v>56295.825000000004</v>
      </c>
      <c r="J19" s="41">
        <f t="shared" si="1"/>
        <v>56295.825000000004</v>
      </c>
      <c r="K19" s="41"/>
    </row>
    <row r="20" spans="1:11" x14ac:dyDescent="0.2">
      <c r="A20" s="158">
        <f t="shared" si="2"/>
        <v>36857</v>
      </c>
      <c r="B20" s="15"/>
      <c r="C20" s="16" t="s">
        <v>85</v>
      </c>
      <c r="D20" s="32">
        <v>5.8550000000000004</v>
      </c>
      <c r="E20" s="15"/>
      <c r="F20" s="18">
        <v>9615</v>
      </c>
      <c r="G20" s="32"/>
      <c r="H20" s="32"/>
      <c r="I20" s="17">
        <f t="shared" si="0"/>
        <v>56295.825000000004</v>
      </c>
      <c r="J20" s="41">
        <f t="shared" si="1"/>
        <v>56295.825000000004</v>
      </c>
      <c r="K20" s="41"/>
    </row>
    <row r="21" spans="1:11" x14ac:dyDescent="0.2">
      <c r="A21" s="158">
        <f t="shared" si="2"/>
        <v>36858</v>
      </c>
      <c r="B21" s="15"/>
      <c r="C21" s="16" t="s">
        <v>85</v>
      </c>
      <c r="D21" s="32">
        <v>5.8550000000000004</v>
      </c>
      <c r="E21" s="15"/>
      <c r="F21" s="18">
        <v>9615</v>
      </c>
      <c r="G21" s="32"/>
      <c r="H21" s="32"/>
      <c r="I21" s="17">
        <f t="shared" si="0"/>
        <v>56295.825000000004</v>
      </c>
      <c r="J21" s="41">
        <f t="shared" si="1"/>
        <v>56295.825000000004</v>
      </c>
      <c r="K21" s="41"/>
    </row>
    <row r="22" spans="1:11" x14ac:dyDescent="0.2">
      <c r="A22" s="158">
        <f>+A21+1</f>
        <v>36859</v>
      </c>
      <c r="B22" s="15"/>
      <c r="C22" s="16" t="s">
        <v>85</v>
      </c>
      <c r="D22" s="32">
        <v>5.8550000000000004</v>
      </c>
      <c r="E22" s="15"/>
      <c r="F22" s="18">
        <v>9615</v>
      </c>
      <c r="G22" s="32"/>
      <c r="H22" s="32"/>
      <c r="I22" s="17">
        <f t="shared" si="0"/>
        <v>56295.825000000004</v>
      </c>
      <c r="J22" s="41">
        <f t="shared" si="1"/>
        <v>56295.825000000004</v>
      </c>
      <c r="K22" s="41"/>
    </row>
    <row r="23" spans="1:11" x14ac:dyDescent="0.2">
      <c r="A23" s="158">
        <f t="shared" si="2"/>
        <v>36860</v>
      </c>
      <c r="B23" s="15"/>
      <c r="C23" s="16" t="s">
        <v>85</v>
      </c>
      <c r="D23" s="32">
        <v>5.8550000000000004</v>
      </c>
      <c r="E23" s="15"/>
      <c r="F23" s="18">
        <v>9615</v>
      </c>
      <c r="G23" s="15"/>
      <c r="H23" s="32"/>
      <c r="I23" s="17">
        <f t="shared" si="0"/>
        <v>56295.825000000004</v>
      </c>
      <c r="J23" s="41">
        <f t="shared" si="1"/>
        <v>56295.825000000004</v>
      </c>
      <c r="K23" s="41"/>
    </row>
    <row r="24" spans="1:11" x14ac:dyDescent="0.2">
      <c r="A24" s="158"/>
      <c r="B24" s="15"/>
      <c r="C24" s="15"/>
      <c r="D24" s="15"/>
      <c r="E24" s="15"/>
      <c r="F24" s="21">
        <f>SUM(F11:F23)</f>
        <v>124995</v>
      </c>
      <c r="G24" s="15"/>
      <c r="H24" s="15"/>
      <c r="I24" s="35">
        <f>SUM(I11:I23)</f>
        <v>731845.72499999986</v>
      </c>
      <c r="J24" s="35">
        <f>SUM(J11:J23)</f>
        <v>731845.72499999986</v>
      </c>
      <c r="K24" s="35">
        <f>SUM(K11:K23)</f>
        <v>0</v>
      </c>
    </row>
    <row r="25" spans="1:11" x14ac:dyDescent="0.2">
      <c r="A25" s="158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8"/>
      <c r="B26" s="15"/>
      <c r="C26" s="15"/>
      <c r="D26" s="15"/>
      <c r="E26" s="15"/>
      <c r="F26" s="177"/>
      <c r="G26" s="20"/>
      <c r="H26" s="15"/>
      <c r="I26" s="47"/>
      <c r="J26" s="47"/>
      <c r="K26" s="47"/>
    </row>
    <row r="27" spans="1:11" x14ac:dyDescent="0.2">
      <c r="A27" s="158">
        <v>36848</v>
      </c>
      <c r="B27" s="15"/>
      <c r="C27" s="16" t="s">
        <v>32</v>
      </c>
      <c r="D27" s="32"/>
      <c r="E27" s="15"/>
      <c r="F27" s="18">
        <v>-9615</v>
      </c>
      <c r="G27" s="32">
        <v>5.6349999999999998</v>
      </c>
      <c r="H27" s="32"/>
      <c r="I27" s="17">
        <f>+G27*F27</f>
        <v>-54180.525000000001</v>
      </c>
      <c r="J27" s="41">
        <f>+I27</f>
        <v>-54180.525000000001</v>
      </c>
      <c r="K27" s="41"/>
    </row>
    <row r="28" spans="1:11" x14ac:dyDescent="0.2">
      <c r="A28" s="158">
        <f t="shared" ref="A28:A39" si="3">+A27+1</f>
        <v>36849</v>
      </c>
      <c r="B28" s="15"/>
      <c r="C28" s="16" t="s">
        <v>32</v>
      </c>
      <c r="D28" s="32"/>
      <c r="E28" s="15"/>
      <c r="F28" s="18">
        <v>-9615</v>
      </c>
      <c r="G28" s="32">
        <v>5.6349999999999998</v>
      </c>
      <c r="H28" s="32"/>
      <c r="I28" s="17">
        <f t="shared" ref="I28:I39" si="4">+G28*F28</f>
        <v>-54180.525000000001</v>
      </c>
      <c r="J28" s="41">
        <f t="shared" ref="J28:J39" si="5">+I28</f>
        <v>-54180.525000000001</v>
      </c>
      <c r="K28" s="41"/>
    </row>
    <row r="29" spans="1:11" x14ac:dyDescent="0.2">
      <c r="A29" s="158">
        <f t="shared" si="3"/>
        <v>36850</v>
      </c>
      <c r="B29" s="15"/>
      <c r="C29" s="16" t="s">
        <v>32</v>
      </c>
      <c r="D29" s="32"/>
      <c r="E29" s="15"/>
      <c r="F29" s="18">
        <v>-9615</v>
      </c>
      <c r="G29" s="32">
        <v>5.6349999999999998</v>
      </c>
      <c r="H29" s="32"/>
      <c r="I29" s="17">
        <f t="shared" si="4"/>
        <v>-54180.525000000001</v>
      </c>
      <c r="J29" s="41">
        <f t="shared" si="5"/>
        <v>-54180.525000000001</v>
      </c>
      <c r="K29" s="41"/>
    </row>
    <row r="30" spans="1:11" x14ac:dyDescent="0.2">
      <c r="A30" s="158">
        <f t="shared" si="3"/>
        <v>36851</v>
      </c>
      <c r="B30" s="15"/>
      <c r="C30" s="16" t="s">
        <v>32</v>
      </c>
      <c r="D30" s="32"/>
      <c r="E30" s="15"/>
      <c r="F30" s="18">
        <v>-9615</v>
      </c>
      <c r="G30" s="32">
        <v>6.2350000000000003</v>
      </c>
      <c r="H30" s="32"/>
      <c r="I30" s="17">
        <f t="shared" si="4"/>
        <v>-59949.525000000001</v>
      </c>
      <c r="J30" s="41">
        <f t="shared" si="5"/>
        <v>-59949.525000000001</v>
      </c>
      <c r="K30" s="41"/>
    </row>
    <row r="31" spans="1:11" x14ac:dyDescent="0.2">
      <c r="A31" s="158">
        <f t="shared" si="3"/>
        <v>36852</v>
      </c>
      <c r="B31" s="15"/>
      <c r="C31" s="16" t="s">
        <v>32</v>
      </c>
      <c r="D31" s="32"/>
      <c r="E31" s="15"/>
      <c r="F31" s="18">
        <v>-9615</v>
      </c>
      <c r="G31" s="32">
        <v>6.34</v>
      </c>
      <c r="H31" s="32"/>
      <c r="I31" s="17">
        <f t="shared" si="4"/>
        <v>-60959.1</v>
      </c>
      <c r="J31" s="41">
        <f t="shared" si="5"/>
        <v>-60959.1</v>
      </c>
      <c r="K31" s="41"/>
    </row>
    <row r="32" spans="1:11" x14ac:dyDescent="0.2">
      <c r="A32" s="158">
        <f t="shared" si="3"/>
        <v>36853</v>
      </c>
      <c r="B32" s="15"/>
      <c r="C32" s="16" t="s">
        <v>32</v>
      </c>
      <c r="D32" s="32"/>
      <c r="E32" s="15"/>
      <c r="F32" s="18">
        <v>-9615</v>
      </c>
      <c r="G32" s="32">
        <v>6.3150000000000004</v>
      </c>
      <c r="H32" s="32"/>
      <c r="I32" s="17">
        <f t="shared" si="4"/>
        <v>-60718.725000000006</v>
      </c>
      <c r="J32" s="41">
        <f t="shared" si="5"/>
        <v>-60718.725000000006</v>
      </c>
      <c r="K32" s="41"/>
    </row>
    <row r="33" spans="1:11" x14ac:dyDescent="0.2">
      <c r="A33" s="158">
        <f t="shared" si="3"/>
        <v>36854</v>
      </c>
      <c r="B33" s="15"/>
      <c r="C33" s="16" t="s">
        <v>32</v>
      </c>
      <c r="D33" s="32"/>
      <c r="E33" s="15"/>
      <c r="F33" s="18">
        <v>-9615</v>
      </c>
      <c r="G33" s="32">
        <v>6.3150000000000004</v>
      </c>
      <c r="H33" s="32"/>
      <c r="I33" s="17">
        <f t="shared" si="4"/>
        <v>-60718.725000000006</v>
      </c>
      <c r="J33" s="41">
        <f t="shared" si="5"/>
        <v>-60718.725000000006</v>
      </c>
      <c r="K33" s="41"/>
    </row>
    <row r="34" spans="1:11" x14ac:dyDescent="0.2">
      <c r="A34" s="158">
        <f t="shared" si="3"/>
        <v>36855</v>
      </c>
      <c r="B34" s="15"/>
      <c r="C34" s="16" t="s">
        <v>32</v>
      </c>
      <c r="D34" s="32"/>
      <c r="E34" s="15"/>
      <c r="F34" s="18">
        <v>-9615</v>
      </c>
      <c r="G34" s="32">
        <v>6.3150000000000004</v>
      </c>
      <c r="H34" s="32"/>
      <c r="I34" s="17">
        <f t="shared" si="4"/>
        <v>-60718.725000000006</v>
      </c>
      <c r="J34" s="41">
        <f t="shared" si="5"/>
        <v>-60718.725000000006</v>
      </c>
      <c r="K34" s="41"/>
    </row>
    <row r="35" spans="1:11" x14ac:dyDescent="0.2">
      <c r="A35" s="158">
        <f t="shared" si="3"/>
        <v>36856</v>
      </c>
      <c r="B35" s="15"/>
      <c r="C35" s="16" t="s">
        <v>32</v>
      </c>
      <c r="D35" s="32"/>
      <c r="E35" s="15"/>
      <c r="F35" s="18">
        <v>-9615</v>
      </c>
      <c r="G35" s="32">
        <v>6.3150000000000004</v>
      </c>
      <c r="H35" s="32"/>
      <c r="I35" s="17">
        <f t="shared" si="4"/>
        <v>-60718.725000000006</v>
      </c>
      <c r="J35" s="41">
        <f t="shared" si="5"/>
        <v>-60718.725000000006</v>
      </c>
      <c r="K35" s="41"/>
    </row>
    <row r="36" spans="1:11" x14ac:dyDescent="0.2">
      <c r="A36" s="158">
        <f t="shared" si="3"/>
        <v>36857</v>
      </c>
      <c r="B36" s="15"/>
      <c r="C36" s="16" t="s">
        <v>32</v>
      </c>
      <c r="D36" s="32"/>
      <c r="E36" s="15"/>
      <c r="F36" s="18">
        <v>-9615</v>
      </c>
      <c r="G36" s="32">
        <v>6.3150000000000004</v>
      </c>
      <c r="H36" s="32"/>
      <c r="I36" s="17">
        <f t="shared" si="4"/>
        <v>-60718.725000000006</v>
      </c>
      <c r="J36" s="41">
        <f t="shared" si="5"/>
        <v>-60718.725000000006</v>
      </c>
      <c r="K36" s="41"/>
    </row>
    <row r="37" spans="1:11" x14ac:dyDescent="0.2">
      <c r="A37" s="158">
        <f t="shared" si="3"/>
        <v>36858</v>
      </c>
      <c r="B37" s="15"/>
      <c r="C37" s="16" t="s">
        <v>32</v>
      </c>
      <c r="D37" s="32"/>
      <c r="E37" s="15"/>
      <c r="F37" s="18">
        <v>-9615</v>
      </c>
      <c r="G37" s="32">
        <v>6.2450000000000001</v>
      </c>
      <c r="H37" s="32"/>
      <c r="I37" s="17">
        <f t="shared" si="4"/>
        <v>-60045.675000000003</v>
      </c>
      <c r="J37" s="41">
        <f t="shared" si="5"/>
        <v>-60045.675000000003</v>
      </c>
      <c r="K37" s="41"/>
    </row>
    <row r="38" spans="1:11" x14ac:dyDescent="0.2">
      <c r="A38" s="158">
        <f t="shared" si="3"/>
        <v>36859</v>
      </c>
      <c r="B38" s="15"/>
      <c r="C38" s="16" t="s">
        <v>32</v>
      </c>
      <c r="D38" s="32"/>
      <c r="E38" s="15"/>
      <c r="F38" s="18">
        <v>-9615</v>
      </c>
      <c r="G38" s="32">
        <v>5.9249999999999998</v>
      </c>
      <c r="H38" s="32"/>
      <c r="I38" s="17">
        <f t="shared" si="4"/>
        <v>-56968.875</v>
      </c>
      <c r="J38" s="41">
        <f t="shared" si="5"/>
        <v>-56968.875</v>
      </c>
      <c r="K38" s="41"/>
    </row>
    <row r="39" spans="1:11" x14ac:dyDescent="0.2">
      <c r="A39" s="158">
        <f t="shared" si="3"/>
        <v>36860</v>
      </c>
      <c r="B39" s="15"/>
      <c r="C39" s="16" t="s">
        <v>32</v>
      </c>
      <c r="D39" s="32"/>
      <c r="E39" s="15"/>
      <c r="F39" s="18">
        <v>-9615</v>
      </c>
      <c r="G39" s="61">
        <v>5.95</v>
      </c>
      <c r="H39" s="32"/>
      <c r="I39" s="17">
        <f t="shared" si="4"/>
        <v>-57209.25</v>
      </c>
      <c r="J39" s="41">
        <f t="shared" si="5"/>
        <v>-57209.25</v>
      </c>
      <c r="K39" s="41"/>
    </row>
    <row r="40" spans="1:11" x14ac:dyDescent="0.2">
      <c r="A40" s="158"/>
      <c r="B40" s="15"/>
      <c r="C40" s="15"/>
      <c r="D40" s="15"/>
      <c r="E40" s="15"/>
      <c r="F40" s="21">
        <f>SUM(F27:F39)</f>
        <v>-124995</v>
      </c>
      <c r="G40" s="15"/>
      <c r="H40" s="15"/>
      <c r="I40" s="35">
        <f>SUM(I27:I39)</f>
        <v>-761267.625</v>
      </c>
      <c r="J40" s="35">
        <f>SUM(J27:J39)</f>
        <v>-761267.625</v>
      </c>
      <c r="K40" s="35">
        <f>SUM(K27:K39)</f>
        <v>0</v>
      </c>
    </row>
    <row r="41" spans="1:11" x14ac:dyDescent="0.2">
      <c r="A41" s="158"/>
      <c r="B41" s="15"/>
      <c r="C41" s="15"/>
      <c r="D41" s="15"/>
      <c r="E41" s="15"/>
      <c r="F41" s="177"/>
      <c r="G41" s="20"/>
      <c r="H41" s="15"/>
      <c r="I41" s="47"/>
      <c r="J41" s="47"/>
      <c r="K41" s="47"/>
    </row>
    <row r="42" spans="1:11" ht="13.5" thickBot="1" x14ac:dyDescent="0.25">
      <c r="A42" s="158"/>
      <c r="B42" s="15"/>
      <c r="C42" s="15"/>
      <c r="D42" s="15"/>
      <c r="E42" s="15"/>
      <c r="F42" s="23">
        <f>+F40+F24</f>
        <v>0</v>
      </c>
      <c r="G42" s="20"/>
      <c r="H42" s="15"/>
      <c r="I42" s="24">
        <f>+I40+I24</f>
        <v>-29421.90000000014</v>
      </c>
      <c r="J42" s="178">
        <f>+J40+J24</f>
        <v>-29421.90000000014</v>
      </c>
      <c r="K42" s="178">
        <f>+K40+K24</f>
        <v>0</v>
      </c>
    </row>
    <row r="43" spans="1:11" ht="13.5" thickTop="1" x14ac:dyDescent="0.2">
      <c r="A43" s="158"/>
      <c r="B43" s="15"/>
      <c r="C43" s="15"/>
      <c r="D43" s="15"/>
      <c r="E43" s="15"/>
      <c r="F43" s="177"/>
      <c r="G43" s="20"/>
      <c r="H43" s="15"/>
      <c r="I43" s="47"/>
      <c r="J43" s="47"/>
      <c r="K43" s="47"/>
    </row>
    <row r="44" spans="1:11" x14ac:dyDescent="0.2">
      <c r="A44" s="158"/>
      <c r="B44" s="15"/>
      <c r="C44" s="15"/>
      <c r="D44" s="15"/>
      <c r="E44" s="15"/>
      <c r="F44" s="177"/>
      <c r="G44" s="20"/>
      <c r="H44" s="15"/>
      <c r="I44" s="47"/>
      <c r="J44" s="47"/>
      <c r="K44" s="47"/>
    </row>
    <row r="45" spans="1:11" x14ac:dyDescent="0.2">
      <c r="A45" s="158"/>
      <c r="B45" s="15"/>
      <c r="C45" s="15"/>
      <c r="D45" s="15"/>
      <c r="E45" s="15"/>
      <c r="F45" s="177"/>
      <c r="G45" s="20"/>
      <c r="H45" s="15"/>
      <c r="I45" s="47"/>
      <c r="J45" s="47"/>
      <c r="K45" s="47"/>
    </row>
    <row r="46" spans="1:11" x14ac:dyDescent="0.2">
      <c r="A46" s="158"/>
      <c r="B46" s="15"/>
      <c r="C46" s="15"/>
      <c r="D46" s="15"/>
      <c r="E46" s="15"/>
      <c r="F46" s="20"/>
      <c r="G46" s="171"/>
      <c r="H46" s="36"/>
      <c r="I46" s="39"/>
      <c r="J46" s="39"/>
      <c r="K46" s="39"/>
    </row>
    <row r="47" spans="1:11" x14ac:dyDescent="0.2">
      <c r="A47" s="158"/>
      <c r="B47" s="15"/>
      <c r="C47" s="16"/>
      <c r="D47" s="32"/>
      <c r="E47" s="15"/>
      <c r="F47" s="18"/>
      <c r="G47" s="61"/>
      <c r="H47" s="32"/>
      <c r="I47" s="17"/>
      <c r="J47" s="41"/>
      <c r="K47" s="41"/>
    </row>
    <row r="48" spans="1:11" x14ac:dyDescent="0.2">
      <c r="A48" s="159"/>
      <c r="B48" s="26"/>
      <c r="C48" s="168"/>
      <c r="D48" s="169"/>
      <c r="E48" s="26"/>
      <c r="F48" s="65"/>
      <c r="G48" s="170"/>
      <c r="H48" s="169"/>
      <c r="I48" s="66"/>
      <c r="J48" s="122"/>
      <c r="K48" s="122"/>
    </row>
    <row r="49" spans="1:1" x14ac:dyDescent="0.2">
      <c r="A49" s="160"/>
    </row>
    <row r="50" spans="1:1" x14ac:dyDescent="0.2">
      <c r="A50" s="160"/>
    </row>
    <row r="51" spans="1:1" x14ac:dyDescent="0.2">
      <c r="A51" s="160"/>
    </row>
    <row r="52" spans="1:1" x14ac:dyDescent="0.2">
      <c r="A52" s="160"/>
    </row>
    <row r="53" spans="1:1" x14ac:dyDescent="0.2">
      <c r="A53" s="160"/>
    </row>
    <row r="54" spans="1:1" x14ac:dyDescent="0.2">
      <c r="A54" s="160"/>
    </row>
    <row r="55" spans="1:1" x14ac:dyDescent="0.2">
      <c r="A55" s="160"/>
    </row>
    <row r="56" spans="1:1" x14ac:dyDescent="0.2">
      <c r="A56" s="160"/>
    </row>
    <row r="57" spans="1:1" x14ac:dyDescent="0.2">
      <c r="A57" s="160"/>
    </row>
    <row r="58" spans="1:1" x14ac:dyDescent="0.2">
      <c r="A58" s="160"/>
    </row>
    <row r="59" spans="1:1" x14ac:dyDescent="0.2">
      <c r="A59" s="160"/>
    </row>
    <row r="60" spans="1:1" x14ac:dyDescent="0.2">
      <c r="A60" s="160"/>
    </row>
    <row r="61" spans="1:1" x14ac:dyDescent="0.2">
      <c r="A61" s="160"/>
    </row>
    <row r="62" spans="1:1" x14ac:dyDescent="0.2">
      <c r="A62" s="160"/>
    </row>
    <row r="63" spans="1:1" x14ac:dyDescent="0.2">
      <c r="A63" s="160"/>
    </row>
    <row r="64" spans="1:1" x14ac:dyDescent="0.2">
      <c r="A64" s="160"/>
    </row>
    <row r="65" spans="1:1" x14ac:dyDescent="0.2">
      <c r="A65" s="160"/>
    </row>
    <row r="66" spans="1:1" x14ac:dyDescent="0.2">
      <c r="A66" s="160"/>
    </row>
    <row r="67" spans="1:1" x14ac:dyDescent="0.2">
      <c r="A67" s="160"/>
    </row>
    <row r="68" spans="1:1" x14ac:dyDescent="0.2">
      <c r="A68" s="160"/>
    </row>
    <row r="69" spans="1:1" x14ac:dyDescent="0.2">
      <c r="A69" s="160"/>
    </row>
    <row r="70" spans="1:1" x14ac:dyDescent="0.2">
      <c r="A70" s="160"/>
    </row>
    <row r="71" spans="1:1" x14ac:dyDescent="0.2">
      <c r="A71" s="160"/>
    </row>
    <row r="72" spans="1:1" x14ac:dyDescent="0.2">
      <c r="A72" s="160"/>
    </row>
    <row r="73" spans="1:1" x14ac:dyDescent="0.2">
      <c r="A73" s="160"/>
    </row>
    <row r="74" spans="1:1" x14ac:dyDescent="0.2">
      <c r="A74" s="160"/>
    </row>
    <row r="75" spans="1:1" x14ac:dyDescent="0.2">
      <c r="A75" s="160"/>
    </row>
    <row r="76" spans="1:1" x14ac:dyDescent="0.2">
      <c r="A76" s="160"/>
    </row>
    <row r="77" spans="1:1" x14ac:dyDescent="0.2">
      <c r="A77" s="160"/>
    </row>
    <row r="78" spans="1:1" x14ac:dyDescent="0.2">
      <c r="A78" s="160"/>
    </row>
    <row r="79" spans="1:1" x14ac:dyDescent="0.2">
      <c r="A79" s="160"/>
    </row>
    <row r="80" spans="1:1" x14ac:dyDescent="0.2">
      <c r="A80" s="160"/>
    </row>
    <row r="81" spans="1:1" x14ac:dyDescent="0.2">
      <c r="A81" s="160"/>
    </row>
    <row r="82" spans="1:1" x14ac:dyDescent="0.2">
      <c r="A82" s="160"/>
    </row>
    <row r="83" spans="1:1" x14ac:dyDescent="0.2">
      <c r="A83" s="160"/>
    </row>
    <row r="84" spans="1:1" x14ac:dyDescent="0.2">
      <c r="A84" s="160"/>
    </row>
    <row r="85" spans="1:1" x14ac:dyDescent="0.2">
      <c r="A85" s="160"/>
    </row>
    <row r="86" spans="1:1" x14ac:dyDescent="0.2">
      <c r="A86" s="160"/>
    </row>
    <row r="87" spans="1:1" x14ac:dyDescent="0.2">
      <c r="A87" s="160"/>
    </row>
    <row r="88" spans="1:1" x14ac:dyDescent="0.2">
      <c r="A88" s="160"/>
    </row>
    <row r="89" spans="1:1" x14ac:dyDescent="0.2">
      <c r="A89" s="160"/>
    </row>
    <row r="90" spans="1:1" x14ac:dyDescent="0.2">
      <c r="A90" s="160"/>
    </row>
    <row r="91" spans="1:1" x14ac:dyDescent="0.2">
      <c r="A91" s="160"/>
    </row>
    <row r="92" spans="1:1" x14ac:dyDescent="0.2">
      <c r="A92" s="160"/>
    </row>
    <row r="93" spans="1:1" x14ac:dyDescent="0.2">
      <c r="A93" s="160"/>
    </row>
    <row r="94" spans="1:1" x14ac:dyDescent="0.2">
      <c r="A94" s="160"/>
    </row>
    <row r="95" spans="1:1" x14ac:dyDescent="0.2">
      <c r="A95" s="160"/>
    </row>
    <row r="96" spans="1:1" x14ac:dyDescent="0.2">
      <c r="A96" s="160"/>
    </row>
    <row r="97" spans="1:1" x14ac:dyDescent="0.2">
      <c r="A97" s="160"/>
    </row>
    <row r="98" spans="1:1" x14ac:dyDescent="0.2">
      <c r="A98" s="160"/>
    </row>
    <row r="99" spans="1:1" x14ac:dyDescent="0.2">
      <c r="A99" s="160"/>
    </row>
    <row r="100" spans="1:1" x14ac:dyDescent="0.2">
      <c r="A100" s="160"/>
    </row>
    <row r="101" spans="1:1" x14ac:dyDescent="0.2">
      <c r="A101" s="160"/>
    </row>
    <row r="102" spans="1:1" x14ac:dyDescent="0.2">
      <c r="A102" s="160"/>
    </row>
    <row r="103" spans="1:1" x14ac:dyDescent="0.2">
      <c r="A103" s="160"/>
    </row>
    <row r="104" spans="1:1" x14ac:dyDescent="0.2">
      <c r="A104" s="160"/>
    </row>
    <row r="105" spans="1:1" x14ac:dyDescent="0.2">
      <c r="A105" s="160"/>
    </row>
    <row r="106" spans="1:1" x14ac:dyDescent="0.2">
      <c r="A106" s="160"/>
    </row>
    <row r="107" spans="1:1" x14ac:dyDescent="0.2">
      <c r="A107" s="160"/>
    </row>
    <row r="108" spans="1:1" x14ac:dyDescent="0.2">
      <c r="A108" s="160"/>
    </row>
    <row r="109" spans="1:1" x14ac:dyDescent="0.2">
      <c r="A109" s="160"/>
    </row>
    <row r="110" spans="1:1" x14ac:dyDescent="0.2">
      <c r="A110" s="160"/>
    </row>
    <row r="111" spans="1:1" x14ac:dyDescent="0.2">
      <c r="A111" s="160"/>
    </row>
    <row r="112" spans="1:1" x14ac:dyDescent="0.2">
      <c r="A112" s="160"/>
    </row>
    <row r="113" spans="1:1" x14ac:dyDescent="0.2">
      <c r="A113" s="160"/>
    </row>
    <row r="114" spans="1:1" x14ac:dyDescent="0.2">
      <c r="A114" s="160"/>
    </row>
    <row r="115" spans="1:1" x14ac:dyDescent="0.2">
      <c r="A115" s="160"/>
    </row>
    <row r="116" spans="1:1" x14ac:dyDescent="0.2">
      <c r="A116" s="160"/>
    </row>
    <row r="117" spans="1:1" x14ac:dyDescent="0.2">
      <c r="A117" s="160"/>
    </row>
    <row r="118" spans="1:1" x14ac:dyDescent="0.2">
      <c r="A118" s="160"/>
    </row>
    <row r="119" spans="1:1" x14ac:dyDescent="0.2">
      <c r="A119" s="160"/>
    </row>
    <row r="120" spans="1:1" x14ac:dyDescent="0.2">
      <c r="A120" s="160"/>
    </row>
  </sheetData>
  <mergeCells count="1">
    <mergeCell ref="A4:K4"/>
  </mergeCells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8" sqref="A18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 t="s">
        <v>126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109</v>
      </c>
      <c r="E6" s="6"/>
      <c r="F6" s="6" t="s">
        <v>7</v>
      </c>
      <c r="G6" s="6" t="s">
        <v>110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36831</v>
      </c>
      <c r="B9" s="15"/>
      <c r="C9" s="16" t="s">
        <v>33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/>
      <c r="I9" s="17">
        <f>(-G9+D9)*F9</f>
        <v>39834.999999999949</v>
      </c>
      <c r="J9" s="41">
        <f>+I9</f>
        <v>39834.999999999949</v>
      </c>
      <c r="K9" s="41"/>
    </row>
    <row r="10" spans="1:11" x14ac:dyDescent="0.2">
      <c r="A10" s="31"/>
      <c r="B10" s="15"/>
      <c r="C10" s="16" t="s">
        <v>127</v>
      </c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47"/>
      <c r="I12" s="24">
        <f>SUM(I9:I11)</f>
        <v>39834.999999999949</v>
      </c>
      <c r="J12" s="24">
        <f>SUM(J9:J11)</f>
        <v>39834.999999999949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128</v>
      </c>
    </row>
    <row r="19" spans="1:3" x14ac:dyDescent="0.2">
      <c r="A19" s="179">
        <v>37226</v>
      </c>
      <c r="B19">
        <v>4.7850000000000001</v>
      </c>
    </row>
    <row r="20" spans="1:3" x14ac:dyDescent="0.2">
      <c r="A20" s="179">
        <v>37438</v>
      </c>
      <c r="B20" s="173">
        <v>4.0419999999999998</v>
      </c>
    </row>
    <row r="21" spans="1:3" x14ac:dyDescent="0.2">
      <c r="A21" s="179"/>
      <c r="B21">
        <f>+B19-B20</f>
        <v>0.74300000000000033</v>
      </c>
      <c r="C21" t="s">
        <v>123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36831</v>
      </c>
      <c r="B9" s="15"/>
      <c r="C9" s="16" t="s">
        <v>104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47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37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C18" sqref="C18"/>
    </sheetView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36831</v>
      </c>
      <c r="B9" s="15"/>
      <c r="C9" s="16" t="s">
        <v>103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47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37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19" sqref="H19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85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110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">
      <c r="A9" s="31">
        <v>36892</v>
      </c>
      <c r="B9" s="15"/>
      <c r="C9" s="16" t="s">
        <v>85</v>
      </c>
      <c r="D9" s="32">
        <v>3.63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957900.00000000012</v>
      </c>
      <c r="J9" s="41">
        <f>+I9</f>
        <v>957900.00000000012</v>
      </c>
      <c r="K9" s="41"/>
    </row>
    <row r="10" spans="1:11" x14ac:dyDescent="0.2">
      <c r="A10" s="31">
        <v>36923</v>
      </c>
      <c r="B10" s="15"/>
      <c r="C10" s="16" t="s">
        <v>85</v>
      </c>
      <c r="D10" s="32">
        <v>3.63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416500.00000000006</v>
      </c>
      <c r="J10" s="41"/>
      <c r="K10" s="41">
        <f t="shared" ref="K10:K20" si="1">+I10</f>
        <v>416500.00000000006</v>
      </c>
    </row>
    <row r="11" spans="1:11" x14ac:dyDescent="0.2">
      <c r="A11" s="31">
        <v>36951</v>
      </c>
      <c r="B11" s="15"/>
      <c r="C11" s="16" t="s">
        <v>85</v>
      </c>
      <c r="D11" s="32">
        <v>3.63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341310</v>
      </c>
      <c r="J11" s="41"/>
      <c r="K11" s="41">
        <f t="shared" si="1"/>
        <v>341310</v>
      </c>
    </row>
    <row r="12" spans="1:11" x14ac:dyDescent="0.2">
      <c r="A12" s="31">
        <v>36982</v>
      </c>
      <c r="B12" s="15"/>
      <c r="C12" s="16" t="s">
        <v>85</v>
      </c>
      <c r="D12" s="32">
        <v>3.63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250500</v>
      </c>
      <c r="J12" s="41"/>
      <c r="K12" s="41">
        <f t="shared" si="1"/>
        <v>250500</v>
      </c>
    </row>
    <row r="13" spans="1:11" x14ac:dyDescent="0.2">
      <c r="A13" s="31">
        <v>37012</v>
      </c>
      <c r="B13" s="15"/>
      <c r="C13" s="16" t="s">
        <v>85</v>
      </c>
      <c r="D13" s="32">
        <v>3.63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237150.00000000003</v>
      </c>
      <c r="J13" s="39"/>
      <c r="K13" s="41">
        <f t="shared" si="1"/>
        <v>237150.00000000003</v>
      </c>
    </row>
    <row r="14" spans="1:11" x14ac:dyDescent="0.2">
      <c r="A14" s="31">
        <v>37043</v>
      </c>
      <c r="B14" s="15"/>
      <c r="C14" s="16" t="s">
        <v>85</v>
      </c>
      <c r="D14" s="32">
        <v>3.63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232499.99999999997</v>
      </c>
      <c r="J14" s="39"/>
      <c r="K14" s="41">
        <f t="shared" si="1"/>
        <v>232499.99999999997</v>
      </c>
    </row>
    <row r="15" spans="1:11" x14ac:dyDescent="0.2">
      <c r="A15" s="31">
        <v>37073</v>
      </c>
      <c r="B15" s="15"/>
      <c r="C15" s="16" t="s">
        <v>85</v>
      </c>
      <c r="D15" s="32">
        <v>3.63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269699.99999999988</v>
      </c>
      <c r="J15" s="39"/>
      <c r="K15" s="41">
        <f t="shared" si="1"/>
        <v>269699.99999999988</v>
      </c>
    </row>
    <row r="16" spans="1:11" x14ac:dyDescent="0.2">
      <c r="A16" s="31">
        <v>37104</v>
      </c>
      <c r="B16" s="15"/>
      <c r="C16" s="16" t="s">
        <v>85</v>
      </c>
      <c r="D16" s="32">
        <v>3.63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271250</v>
      </c>
      <c r="J16" s="39"/>
      <c r="K16" s="41">
        <f t="shared" si="1"/>
        <v>271250</v>
      </c>
    </row>
    <row r="17" spans="1:11" x14ac:dyDescent="0.2">
      <c r="A17" s="31">
        <v>37135</v>
      </c>
      <c r="B17" s="15"/>
      <c r="C17" s="16" t="s">
        <v>85</v>
      </c>
      <c r="D17" s="32">
        <v>3.63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257999.99999999997</v>
      </c>
      <c r="J17" s="39"/>
      <c r="K17" s="41">
        <f t="shared" si="1"/>
        <v>257999.99999999997</v>
      </c>
    </row>
    <row r="18" spans="1:11" x14ac:dyDescent="0.2">
      <c r="A18" s="31">
        <v>37165</v>
      </c>
      <c r="B18" s="15"/>
      <c r="C18" s="16" t="s">
        <v>85</v>
      </c>
      <c r="D18" s="32">
        <v>3.63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262725.00000000006</v>
      </c>
      <c r="J18" s="39"/>
      <c r="K18" s="41">
        <f t="shared" si="1"/>
        <v>262725.00000000006</v>
      </c>
    </row>
    <row r="19" spans="1:11" x14ac:dyDescent="0.2">
      <c r="A19" s="31">
        <v>37196</v>
      </c>
      <c r="B19" s="15"/>
      <c r="C19" s="16" t="s">
        <v>85</v>
      </c>
      <c r="D19" s="32">
        <v>3.63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261750.00000000003</v>
      </c>
      <c r="J19" s="39"/>
      <c r="K19" s="41">
        <f t="shared" si="1"/>
        <v>261750.00000000003</v>
      </c>
    </row>
    <row r="20" spans="1:11" x14ac:dyDescent="0.2">
      <c r="A20" s="31">
        <v>37226</v>
      </c>
      <c r="B20" s="15"/>
      <c r="C20" s="16" t="s">
        <v>85</v>
      </c>
      <c r="D20" s="32">
        <v>3.63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291400.00000000012</v>
      </c>
      <c r="J20" s="39"/>
      <c r="K20" s="41">
        <f t="shared" si="1"/>
        <v>291400.00000000012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4050685.0000000005</v>
      </c>
      <c r="J22" s="35">
        <f>SUM(J9:J20)</f>
        <v>957900.00000000012</v>
      </c>
      <c r="K22" s="35">
        <f>SUM(K9:K20)</f>
        <v>3092785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36</v>
      </c>
      <c r="D26" s="32">
        <v>3.63</v>
      </c>
      <c r="E26" s="15"/>
      <c r="F26" s="18">
        <f>5000*31</f>
        <v>155000</v>
      </c>
      <c r="G26" s="32"/>
      <c r="H26" s="32">
        <v>9.81</v>
      </c>
      <c r="I26" s="17">
        <f>(+D26-H26)*F26</f>
        <v>-957900.00000000012</v>
      </c>
      <c r="J26" s="41">
        <f>+I26</f>
        <v>-957900.00000000012</v>
      </c>
      <c r="K26" s="41"/>
    </row>
    <row r="27" spans="1:11" x14ac:dyDescent="0.2">
      <c r="A27" s="31">
        <v>36923</v>
      </c>
      <c r="B27" s="15"/>
      <c r="C27" s="16" t="s">
        <v>36</v>
      </c>
      <c r="D27" s="32">
        <v>3.63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-416500.00000000006</v>
      </c>
      <c r="J27" s="41"/>
      <c r="K27" s="41">
        <f t="shared" ref="K27:K37" si="3">+I27</f>
        <v>-416500.00000000006</v>
      </c>
    </row>
    <row r="28" spans="1:11" x14ac:dyDescent="0.2">
      <c r="A28" s="31">
        <v>36951</v>
      </c>
      <c r="B28" s="15"/>
      <c r="C28" s="16" t="s">
        <v>36</v>
      </c>
      <c r="D28" s="32">
        <v>3.63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-341310</v>
      </c>
      <c r="J28" s="41"/>
      <c r="K28" s="41">
        <f t="shared" si="3"/>
        <v>-341310</v>
      </c>
    </row>
    <row r="29" spans="1:11" x14ac:dyDescent="0.2">
      <c r="A29" s="31">
        <v>36982</v>
      </c>
      <c r="B29" s="15"/>
      <c r="C29" s="16" t="s">
        <v>36</v>
      </c>
      <c r="D29" s="32">
        <v>3.63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-250500</v>
      </c>
      <c r="J29" s="41"/>
      <c r="K29" s="41">
        <f t="shared" si="3"/>
        <v>-250500</v>
      </c>
    </row>
    <row r="30" spans="1:11" x14ac:dyDescent="0.2">
      <c r="A30" s="31">
        <v>37012</v>
      </c>
      <c r="B30" s="15"/>
      <c r="C30" s="16" t="s">
        <v>36</v>
      </c>
      <c r="D30" s="32">
        <v>3.63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-237150.00000000003</v>
      </c>
      <c r="J30" s="39"/>
      <c r="K30" s="41">
        <f t="shared" si="3"/>
        <v>-237150.00000000003</v>
      </c>
    </row>
    <row r="31" spans="1:11" x14ac:dyDescent="0.2">
      <c r="A31" s="31">
        <v>37043</v>
      </c>
      <c r="B31" s="15"/>
      <c r="C31" s="16" t="s">
        <v>36</v>
      </c>
      <c r="D31" s="32">
        <v>3.63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-232499.99999999997</v>
      </c>
      <c r="J31" s="39"/>
      <c r="K31" s="41">
        <f t="shared" si="3"/>
        <v>-232499.99999999997</v>
      </c>
    </row>
    <row r="32" spans="1:11" x14ac:dyDescent="0.2">
      <c r="A32" s="31">
        <v>37073</v>
      </c>
      <c r="B32" s="15"/>
      <c r="C32" s="16" t="s">
        <v>36</v>
      </c>
      <c r="D32" s="32">
        <v>3.63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-269699.99999999988</v>
      </c>
      <c r="J32" s="39"/>
      <c r="K32" s="41">
        <f t="shared" si="3"/>
        <v>-269699.99999999988</v>
      </c>
    </row>
    <row r="33" spans="1:11" x14ac:dyDescent="0.2">
      <c r="A33" s="31">
        <v>37104</v>
      </c>
      <c r="B33" s="15"/>
      <c r="C33" s="16" t="s">
        <v>36</v>
      </c>
      <c r="D33" s="32">
        <v>3.63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-271250</v>
      </c>
      <c r="J33" s="39"/>
      <c r="K33" s="41">
        <f t="shared" si="3"/>
        <v>-271250</v>
      </c>
    </row>
    <row r="34" spans="1:11" x14ac:dyDescent="0.2">
      <c r="A34" s="31">
        <v>37135</v>
      </c>
      <c r="B34" s="15"/>
      <c r="C34" s="16" t="s">
        <v>36</v>
      </c>
      <c r="D34" s="32">
        <v>3.63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-257999.99999999997</v>
      </c>
      <c r="J34" s="39"/>
      <c r="K34" s="41">
        <f t="shared" si="3"/>
        <v>-257999.99999999997</v>
      </c>
    </row>
    <row r="35" spans="1:11" x14ac:dyDescent="0.2">
      <c r="A35" s="31">
        <v>37165</v>
      </c>
      <c r="B35" s="15"/>
      <c r="C35" s="16" t="s">
        <v>36</v>
      </c>
      <c r="D35" s="32">
        <v>3.63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-262725.00000000006</v>
      </c>
      <c r="J35" s="39"/>
      <c r="K35" s="41">
        <f t="shared" si="3"/>
        <v>-262725.00000000006</v>
      </c>
    </row>
    <row r="36" spans="1:11" x14ac:dyDescent="0.2">
      <c r="A36" s="31">
        <v>37196</v>
      </c>
      <c r="B36" s="15"/>
      <c r="C36" s="16" t="s">
        <v>36</v>
      </c>
      <c r="D36" s="32">
        <v>3.63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-261750.00000000003</v>
      </c>
      <c r="J36" s="39"/>
      <c r="K36" s="41">
        <f t="shared" si="3"/>
        <v>-261750.00000000003</v>
      </c>
    </row>
    <row r="37" spans="1:11" x14ac:dyDescent="0.2">
      <c r="A37" s="31">
        <v>37226</v>
      </c>
      <c r="B37" s="15"/>
      <c r="C37" s="16" t="s">
        <v>36</v>
      </c>
      <c r="D37" s="32">
        <v>3.63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-291400.00000000012</v>
      </c>
      <c r="J37" s="39"/>
      <c r="K37" s="41">
        <f t="shared" si="3"/>
        <v>-291400.00000000012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-4050685.0000000005</v>
      </c>
      <c r="J39" s="33">
        <f>SUM(J26:J38)</f>
        <v>-957900.00000000012</v>
      </c>
      <c r="K39" s="33">
        <f>SUM(K26:K38)</f>
        <v>-3092785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 t="s">
        <v>124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109</v>
      </c>
      <c r="E6" s="6"/>
      <c r="F6" s="6" t="s">
        <v>7</v>
      </c>
      <c r="G6" s="6" t="s">
        <v>110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36831</v>
      </c>
      <c r="B9" s="15"/>
      <c r="C9" s="16" t="s">
        <v>104</v>
      </c>
      <c r="D9" s="32">
        <v>0.77500000000000002</v>
      </c>
      <c r="E9" s="15"/>
      <c r="F9" s="18">
        <v>500000</v>
      </c>
      <c r="G9" s="32">
        <f>+[2]Curves!$C$23-[2]Curves!$C$30</f>
        <v>0.74300000000000033</v>
      </c>
      <c r="H9" s="32"/>
      <c r="I9" s="17">
        <f>(-G9+D9)*F9</f>
        <v>15999.999999999847</v>
      </c>
      <c r="J9" s="41">
        <f>+I9</f>
        <v>15999.999999999847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500000</v>
      </c>
      <c r="G12" s="15"/>
      <c r="H12" s="147"/>
      <c r="I12" s="24">
        <f>SUM(I9:I11)</f>
        <v>15999.999999999847</v>
      </c>
      <c r="J12" s="24">
        <f>SUM(J9:J11)</f>
        <v>15999.999999999847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122</v>
      </c>
    </row>
    <row r="19" spans="1:3" x14ac:dyDescent="0.2">
      <c r="A19" s="179">
        <v>37226</v>
      </c>
      <c r="B19">
        <v>4.7850000000000001</v>
      </c>
    </row>
    <row r="20" spans="1:3" x14ac:dyDescent="0.2">
      <c r="A20" s="179">
        <v>37438</v>
      </c>
      <c r="B20" s="173">
        <v>4.0419999999999998</v>
      </c>
    </row>
    <row r="21" spans="1:3" x14ac:dyDescent="0.2">
      <c r="A21" s="179"/>
      <c r="B21">
        <f>+B19-B20</f>
        <v>0.74300000000000033</v>
      </c>
      <c r="C21" t="s">
        <v>123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7" sqref="A17:IV17"/>
    </sheetView>
  </sheetViews>
  <sheetFormatPr defaultRowHeight="12.75" x14ac:dyDescent="0.2"/>
  <cols>
    <col min="1" max="2" width="10.7109375" customWidth="1"/>
    <col min="3" max="3" width="14.57031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 t="s">
        <v>121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109</v>
      </c>
      <c r="E6" s="6"/>
      <c r="F6" s="6" t="s">
        <v>7</v>
      </c>
      <c r="G6" s="6" t="s">
        <v>110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36831</v>
      </c>
      <c r="B9" s="15"/>
      <c r="C9" s="16" t="s">
        <v>104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>
        <f>+G9-D9</f>
        <v>-0.25699999999999967</v>
      </c>
      <c r="I9" s="17"/>
      <c r="J9" s="41">
        <f>+I9</f>
        <v>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47"/>
      <c r="I12" s="24">
        <f>SUM(I9:I11)</f>
        <v>0</v>
      </c>
      <c r="J12" s="24">
        <f>SUM(J9:J11)</f>
        <v>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">
      <c r="A17" s="29" t="s">
        <v>122</v>
      </c>
    </row>
    <row r="19" spans="1:3" x14ac:dyDescent="0.2">
      <c r="A19" s="179">
        <v>37226</v>
      </c>
      <c r="B19">
        <v>4.7850000000000001</v>
      </c>
    </row>
    <row r="20" spans="1:3" x14ac:dyDescent="0.2">
      <c r="A20" s="179">
        <v>37438</v>
      </c>
      <c r="B20" s="173">
        <v>4.0419999999999998</v>
      </c>
    </row>
    <row r="21" spans="1:3" x14ac:dyDescent="0.2">
      <c r="A21" s="179"/>
      <c r="B21">
        <f>+B19-B20</f>
        <v>0.74300000000000033</v>
      </c>
      <c r="C21" t="s">
        <v>123</v>
      </c>
    </row>
  </sheetData>
  <mergeCells count="1">
    <mergeCell ref="A4:K4"/>
  </mergeCells>
  <pageMargins left="0.75" right="0.75" top="1" bottom="1" header="0.5" footer="0.5"/>
  <pageSetup scale="96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3" sqref="F23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36892</v>
      </c>
      <c r="B9" s="15"/>
      <c r="C9" s="16" t="s">
        <v>88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88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88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88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88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88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88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88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88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88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88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88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47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48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36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36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36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36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36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36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36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36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36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36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36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36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7" workbookViewId="0">
      <selection activeCell="G28" sqref="G28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49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46" t="s">
        <v>47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63" t="s">
        <v>50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51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52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53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54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55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56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57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58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59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60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61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48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50</v>
      </c>
      <c r="B25" s="16">
        <f>26125</f>
        <v>26125</v>
      </c>
      <c r="C25" s="16" t="s">
        <v>28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51</v>
      </c>
      <c r="B26" s="16">
        <f>26125</f>
        <v>26125</v>
      </c>
      <c r="C26" s="16" t="s">
        <v>28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52</v>
      </c>
      <c r="B27" s="16">
        <f>26125</f>
        <v>26125</v>
      </c>
      <c r="C27" s="16" t="s">
        <v>28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53</v>
      </c>
      <c r="B28" s="16">
        <f>26125</f>
        <v>26125</v>
      </c>
      <c r="C28" s="16" t="s">
        <v>28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54</v>
      </c>
      <c r="B29" s="16">
        <f>26125</f>
        <v>26125</v>
      </c>
      <c r="C29" s="16" t="s">
        <v>28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55</v>
      </c>
      <c r="B30" s="16">
        <f>26125</f>
        <v>26125</v>
      </c>
      <c r="C30" s="16" t="s">
        <v>28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56</v>
      </c>
      <c r="B31" s="16">
        <f>26125</f>
        <v>26125</v>
      </c>
      <c r="C31" s="16" t="s">
        <v>28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57</v>
      </c>
      <c r="B32" s="16">
        <f>26125</f>
        <v>26125</v>
      </c>
      <c r="C32" s="16" t="s">
        <v>28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58</v>
      </c>
      <c r="B33" s="16">
        <f>26125</f>
        <v>26125</v>
      </c>
      <c r="C33" s="16" t="s">
        <v>28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59</v>
      </c>
      <c r="B34" s="16">
        <f>26125</f>
        <v>26125</v>
      </c>
      <c r="C34" s="16" t="s">
        <v>28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60</v>
      </c>
      <c r="B35" s="16">
        <f>26125</f>
        <v>26125</v>
      </c>
      <c r="C35" s="16" t="s">
        <v>28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61</v>
      </c>
      <c r="B36" s="16">
        <f>26125</f>
        <v>26125</v>
      </c>
      <c r="C36" s="16" t="s">
        <v>28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37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350" t="s">
        <v>84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14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79</v>
      </c>
      <c r="H8" s="51" t="s">
        <v>79</v>
      </c>
      <c r="I8" s="58" t="s">
        <v>24</v>
      </c>
      <c r="J8" s="58" t="s">
        <v>24</v>
      </c>
      <c r="K8" s="59" t="s">
        <v>24</v>
      </c>
    </row>
    <row r="9" spans="1:11" x14ac:dyDescent="0.2">
      <c r="A9" s="31">
        <v>36465</v>
      </c>
      <c r="B9" s="15">
        <v>105706</v>
      </c>
      <c r="C9" s="16" t="s">
        <v>78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78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78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78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78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78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22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19" t="s">
        <v>80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78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78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78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78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78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78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22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20">
        <f>SUM(I20:I25)</f>
        <v>-607140</v>
      </c>
      <c r="J26" s="120">
        <f>SUM(J20:J25)</f>
        <v>-607140</v>
      </c>
      <c r="K26" s="120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17">
        <f>+F26+F15</f>
        <v>0</v>
      </c>
      <c r="G28" s="15"/>
      <c r="H28" s="32"/>
      <c r="I28" s="118">
        <f>+I26+I15</f>
        <v>-18740</v>
      </c>
      <c r="J28" s="118">
        <f>+J26+J15</f>
        <v>-18740</v>
      </c>
      <c r="K28" s="118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37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39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41</v>
      </c>
      <c r="B7" s="6" t="s">
        <v>3</v>
      </c>
      <c r="C7" s="6" t="s">
        <v>3</v>
      </c>
      <c r="D7" s="6" t="s">
        <v>42</v>
      </c>
      <c r="E7" s="6"/>
      <c r="F7" s="6" t="s">
        <v>7</v>
      </c>
      <c r="G7" s="6" t="s">
        <v>43</v>
      </c>
      <c r="H7" s="6" t="s">
        <v>17</v>
      </c>
      <c r="I7" s="55" t="s">
        <v>44</v>
      </c>
      <c r="J7" s="56"/>
      <c r="K7" s="57"/>
    </row>
    <row r="8" spans="1:11" s="7" customFormat="1" x14ac:dyDescent="0.2">
      <c r="A8" s="8" t="s">
        <v>45</v>
      </c>
      <c r="B8" s="9" t="s">
        <v>9</v>
      </c>
      <c r="C8" s="9" t="s">
        <v>8</v>
      </c>
      <c r="D8" s="9" t="s">
        <v>12</v>
      </c>
      <c r="E8" s="9"/>
      <c r="F8" s="9" t="s">
        <v>46</v>
      </c>
      <c r="G8" s="9" t="s">
        <v>12</v>
      </c>
      <c r="H8" s="9" t="s">
        <v>12</v>
      </c>
      <c r="I8" s="9" t="s">
        <v>19</v>
      </c>
      <c r="J8" s="9" t="s">
        <v>20</v>
      </c>
      <c r="K8" s="10" t="s">
        <v>21</v>
      </c>
    </row>
    <row r="9" spans="1:11" x14ac:dyDescent="0.2">
      <c r="A9" s="11"/>
      <c r="B9" s="12"/>
      <c r="C9" s="12"/>
      <c r="D9" s="12"/>
      <c r="E9" s="12"/>
      <c r="F9" s="12"/>
      <c r="G9" s="46" t="s">
        <v>47</v>
      </c>
      <c r="H9" s="13"/>
      <c r="I9" s="58" t="s">
        <v>24</v>
      </c>
      <c r="J9" s="58" t="s">
        <v>24</v>
      </c>
      <c r="K9" s="59" t="s">
        <v>24</v>
      </c>
    </row>
    <row r="10" spans="1:11" x14ac:dyDescent="0.2">
      <c r="A10" s="14">
        <v>35947</v>
      </c>
      <c r="B10" s="15"/>
      <c r="C10" s="16" t="s">
        <v>26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26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26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26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26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26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26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26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26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26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26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26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48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28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28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28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28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28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28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28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28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28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28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28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28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37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62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36069</v>
      </c>
      <c r="B9" s="15"/>
      <c r="C9" s="16" t="s">
        <v>26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26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26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26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26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26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26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26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26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26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26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26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26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26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26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48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36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36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36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36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36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36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36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36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36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36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36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36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36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36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36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37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64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36069</v>
      </c>
      <c r="B9" s="15"/>
      <c r="C9" s="16" t="s">
        <v>30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30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30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30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30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30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30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30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30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30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30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30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30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30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30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48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36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36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36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36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36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36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36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36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36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36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36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36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36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36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36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37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65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36281</v>
      </c>
      <c r="B9" s="15"/>
      <c r="C9" s="16" t="s">
        <v>30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30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30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30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30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30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30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30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48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36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36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36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36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36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36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36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36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37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208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110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">
      <c r="A9" s="31">
        <v>36892</v>
      </c>
      <c r="B9" s="15"/>
      <c r="C9" s="16" t="s">
        <v>85</v>
      </c>
      <c r="D9" s="32">
        <v>3.585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964875.00000000012</v>
      </c>
      <c r="J9" s="41">
        <f>+I9</f>
        <v>964875.00000000012</v>
      </c>
      <c r="K9" s="41"/>
    </row>
    <row r="10" spans="1:11" x14ac:dyDescent="0.2">
      <c r="A10" s="31">
        <v>36923</v>
      </c>
      <c r="B10" s="15"/>
      <c r="C10" s="16" t="s">
        <v>85</v>
      </c>
      <c r="D10" s="32">
        <v>3.585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422800.00000000006</v>
      </c>
      <c r="J10" s="41"/>
      <c r="K10" s="41">
        <f t="shared" ref="K10:K20" si="1">+I10</f>
        <v>422800.00000000006</v>
      </c>
    </row>
    <row r="11" spans="1:11" x14ac:dyDescent="0.2">
      <c r="A11" s="31">
        <v>36951</v>
      </c>
      <c r="B11" s="15"/>
      <c r="C11" s="16" t="s">
        <v>85</v>
      </c>
      <c r="D11" s="32">
        <v>3.585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348285</v>
      </c>
      <c r="J11" s="41"/>
      <c r="K11" s="41">
        <f t="shared" si="1"/>
        <v>348285</v>
      </c>
    </row>
    <row r="12" spans="1:11" x14ac:dyDescent="0.2">
      <c r="A12" s="31">
        <v>36982</v>
      </c>
      <c r="B12" s="15"/>
      <c r="C12" s="16" t="s">
        <v>85</v>
      </c>
      <c r="D12" s="32">
        <v>3.585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257249.99999999997</v>
      </c>
      <c r="J12" s="41"/>
      <c r="K12" s="41">
        <f t="shared" si="1"/>
        <v>257249.99999999997</v>
      </c>
    </row>
    <row r="13" spans="1:11" x14ac:dyDescent="0.2">
      <c r="A13" s="31">
        <v>37012</v>
      </c>
      <c r="B13" s="15"/>
      <c r="C13" s="16" t="s">
        <v>85</v>
      </c>
      <c r="D13" s="32">
        <v>3.585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244125.00000000003</v>
      </c>
      <c r="J13" s="39"/>
      <c r="K13" s="41">
        <f t="shared" si="1"/>
        <v>244125.00000000003</v>
      </c>
    </row>
    <row r="14" spans="1:11" x14ac:dyDescent="0.2">
      <c r="A14" s="31">
        <v>37043</v>
      </c>
      <c r="B14" s="15"/>
      <c r="C14" s="16" t="s">
        <v>85</v>
      </c>
      <c r="D14" s="32">
        <v>3.585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239249.99999999997</v>
      </c>
      <c r="J14" s="39"/>
      <c r="K14" s="41">
        <f t="shared" si="1"/>
        <v>239249.99999999997</v>
      </c>
    </row>
    <row r="15" spans="1:11" x14ac:dyDescent="0.2">
      <c r="A15" s="31">
        <v>37073</v>
      </c>
      <c r="B15" s="15"/>
      <c r="C15" s="16" t="s">
        <v>85</v>
      </c>
      <c r="D15" s="32">
        <v>3.585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276674.99999999988</v>
      </c>
      <c r="J15" s="39"/>
      <c r="K15" s="41">
        <f t="shared" si="1"/>
        <v>276674.99999999988</v>
      </c>
    </row>
    <row r="16" spans="1:11" x14ac:dyDescent="0.2">
      <c r="A16" s="31">
        <v>37104</v>
      </c>
      <c r="B16" s="15"/>
      <c r="C16" s="16" t="s">
        <v>85</v>
      </c>
      <c r="D16" s="32">
        <v>3.585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278225</v>
      </c>
      <c r="J16" s="39"/>
      <c r="K16" s="41">
        <f t="shared" si="1"/>
        <v>278225</v>
      </c>
    </row>
    <row r="17" spans="1:11" x14ac:dyDescent="0.2">
      <c r="A17" s="31">
        <v>37135</v>
      </c>
      <c r="B17" s="15"/>
      <c r="C17" s="16" t="s">
        <v>85</v>
      </c>
      <c r="D17" s="32">
        <v>3.585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264749.99999999994</v>
      </c>
      <c r="J17" s="39"/>
      <c r="K17" s="41">
        <f t="shared" si="1"/>
        <v>264749.99999999994</v>
      </c>
    </row>
    <row r="18" spans="1:11" x14ac:dyDescent="0.2">
      <c r="A18" s="31">
        <v>37165</v>
      </c>
      <c r="B18" s="15"/>
      <c r="C18" s="16" t="s">
        <v>85</v>
      </c>
      <c r="D18" s="32">
        <v>3.585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269700.00000000006</v>
      </c>
      <c r="J18" s="39"/>
      <c r="K18" s="41">
        <f t="shared" si="1"/>
        <v>269700.00000000006</v>
      </c>
    </row>
    <row r="19" spans="1:11" x14ac:dyDescent="0.2">
      <c r="A19" s="31">
        <v>37196</v>
      </c>
      <c r="B19" s="15"/>
      <c r="C19" s="16" t="s">
        <v>85</v>
      </c>
      <c r="D19" s="32">
        <v>3.585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268500</v>
      </c>
      <c r="J19" s="39"/>
      <c r="K19" s="41">
        <f t="shared" si="1"/>
        <v>268500</v>
      </c>
    </row>
    <row r="20" spans="1:11" x14ac:dyDescent="0.2">
      <c r="A20" s="31">
        <v>37226</v>
      </c>
      <c r="B20" s="15"/>
      <c r="C20" s="16" t="s">
        <v>85</v>
      </c>
      <c r="D20" s="32">
        <v>3.585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298375.00000000012</v>
      </c>
      <c r="J20" s="39"/>
      <c r="K20" s="41">
        <f t="shared" si="1"/>
        <v>298375.00000000012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4132810.0000000005</v>
      </c>
      <c r="J22" s="35">
        <f>SUM(J9:J20)</f>
        <v>964875.00000000012</v>
      </c>
      <c r="K22" s="35">
        <f>SUM(K9:K20)</f>
        <v>3167935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36</v>
      </c>
      <c r="D26" s="32">
        <v>3.585</v>
      </c>
      <c r="E26" s="15"/>
      <c r="F26" s="18">
        <f>5000*31</f>
        <v>155000</v>
      </c>
      <c r="G26" s="32"/>
      <c r="H26" s="32">
        <v>9.81</v>
      </c>
      <c r="I26" s="17">
        <f>(+D26-H26)*F26</f>
        <v>-964875.00000000012</v>
      </c>
      <c r="J26" s="41">
        <f>+I26</f>
        <v>-964875.00000000012</v>
      </c>
      <c r="K26" s="41"/>
    </row>
    <row r="27" spans="1:11" x14ac:dyDescent="0.2">
      <c r="A27" s="31">
        <v>36923</v>
      </c>
      <c r="B27" s="15"/>
      <c r="C27" s="16" t="s">
        <v>36</v>
      </c>
      <c r="D27" s="32">
        <v>3.585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-422800.00000000006</v>
      </c>
      <c r="J27" s="41"/>
      <c r="K27" s="41">
        <f t="shared" ref="K27:K37" si="3">+I27</f>
        <v>-422800.00000000006</v>
      </c>
    </row>
    <row r="28" spans="1:11" x14ac:dyDescent="0.2">
      <c r="A28" s="31">
        <v>36951</v>
      </c>
      <c r="B28" s="15"/>
      <c r="C28" s="16" t="s">
        <v>36</v>
      </c>
      <c r="D28" s="32">
        <v>3.585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-348285</v>
      </c>
      <c r="J28" s="41"/>
      <c r="K28" s="41">
        <f t="shared" si="3"/>
        <v>-348285</v>
      </c>
    </row>
    <row r="29" spans="1:11" x14ac:dyDescent="0.2">
      <c r="A29" s="31">
        <v>36982</v>
      </c>
      <c r="B29" s="15"/>
      <c r="C29" s="16" t="s">
        <v>36</v>
      </c>
      <c r="D29" s="32">
        <v>3.585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-257249.99999999997</v>
      </c>
      <c r="J29" s="41"/>
      <c r="K29" s="41">
        <f t="shared" si="3"/>
        <v>-257249.99999999997</v>
      </c>
    </row>
    <row r="30" spans="1:11" x14ac:dyDescent="0.2">
      <c r="A30" s="31">
        <v>37012</v>
      </c>
      <c r="B30" s="15"/>
      <c r="C30" s="16" t="s">
        <v>36</v>
      </c>
      <c r="D30" s="32">
        <v>3.585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-244125.00000000003</v>
      </c>
      <c r="J30" s="39"/>
      <c r="K30" s="41">
        <f t="shared" si="3"/>
        <v>-244125.00000000003</v>
      </c>
    </row>
    <row r="31" spans="1:11" x14ac:dyDescent="0.2">
      <c r="A31" s="31">
        <v>37043</v>
      </c>
      <c r="B31" s="15"/>
      <c r="C31" s="16" t="s">
        <v>36</v>
      </c>
      <c r="D31" s="32">
        <v>3.585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-239249.99999999997</v>
      </c>
      <c r="J31" s="39"/>
      <c r="K31" s="41">
        <f t="shared" si="3"/>
        <v>-239249.99999999997</v>
      </c>
    </row>
    <row r="32" spans="1:11" x14ac:dyDescent="0.2">
      <c r="A32" s="31">
        <v>37073</v>
      </c>
      <c r="B32" s="15"/>
      <c r="C32" s="16" t="s">
        <v>36</v>
      </c>
      <c r="D32" s="32">
        <v>3.585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-276674.99999999988</v>
      </c>
      <c r="J32" s="39"/>
      <c r="K32" s="41">
        <f t="shared" si="3"/>
        <v>-276674.99999999988</v>
      </c>
    </row>
    <row r="33" spans="1:11" x14ac:dyDescent="0.2">
      <c r="A33" s="31">
        <v>37104</v>
      </c>
      <c r="B33" s="15"/>
      <c r="C33" s="16" t="s">
        <v>36</v>
      </c>
      <c r="D33" s="32">
        <v>3.585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-278225</v>
      </c>
      <c r="J33" s="39"/>
      <c r="K33" s="41">
        <f t="shared" si="3"/>
        <v>-278225</v>
      </c>
    </row>
    <row r="34" spans="1:11" x14ac:dyDescent="0.2">
      <c r="A34" s="31">
        <v>37135</v>
      </c>
      <c r="B34" s="15"/>
      <c r="C34" s="16" t="s">
        <v>36</v>
      </c>
      <c r="D34" s="32">
        <v>3.585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-264749.99999999994</v>
      </c>
      <c r="J34" s="39"/>
      <c r="K34" s="41">
        <f t="shared" si="3"/>
        <v>-264749.99999999994</v>
      </c>
    </row>
    <row r="35" spans="1:11" x14ac:dyDescent="0.2">
      <c r="A35" s="31">
        <v>37165</v>
      </c>
      <c r="B35" s="15"/>
      <c r="C35" s="16" t="s">
        <v>36</v>
      </c>
      <c r="D35" s="32">
        <v>3.585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-269700.00000000006</v>
      </c>
      <c r="J35" s="39"/>
      <c r="K35" s="41">
        <f t="shared" si="3"/>
        <v>-269700.00000000006</v>
      </c>
    </row>
    <row r="36" spans="1:11" x14ac:dyDescent="0.2">
      <c r="A36" s="31">
        <v>37196</v>
      </c>
      <c r="B36" s="15"/>
      <c r="C36" s="16" t="s">
        <v>36</v>
      </c>
      <c r="D36" s="32">
        <v>3.585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-268500</v>
      </c>
      <c r="J36" s="39"/>
      <c r="K36" s="41">
        <f t="shared" si="3"/>
        <v>-268500</v>
      </c>
    </row>
    <row r="37" spans="1:11" x14ac:dyDescent="0.2">
      <c r="A37" s="31">
        <v>37226</v>
      </c>
      <c r="B37" s="15"/>
      <c r="C37" s="16" t="s">
        <v>36</v>
      </c>
      <c r="D37" s="32">
        <v>3.585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-298375.00000000012</v>
      </c>
      <c r="J37" s="39"/>
      <c r="K37" s="41">
        <f t="shared" si="3"/>
        <v>-298375.00000000012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-4132810.0000000005</v>
      </c>
      <c r="J39" s="33">
        <f>SUM(J26:J38)</f>
        <v>-964875.00000000012</v>
      </c>
      <c r="K39" s="33">
        <f>SUM(K26:K38)</f>
        <v>-3167935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opLeftCell="A4" workbookViewId="0">
      <selection activeCell="H20" sqref="H20"/>
    </sheetView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68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1" x14ac:dyDescent="0.2">
      <c r="G5" s="146"/>
      <c r="H5" s="146"/>
    </row>
    <row r="6" spans="1:11" s="7" customFormat="1" x14ac:dyDescent="0.2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">
      <c r="A8" s="11"/>
      <c r="B8" s="12"/>
      <c r="C8" s="12"/>
      <c r="D8" s="12"/>
      <c r="E8" s="12"/>
      <c r="F8" s="12"/>
      <c r="G8" s="51" t="s">
        <v>69</v>
      </c>
      <c r="H8" s="13"/>
      <c r="I8" s="58" t="s">
        <v>24</v>
      </c>
      <c r="J8" s="58" t="s">
        <v>24</v>
      </c>
      <c r="K8" s="59" t="s">
        <v>24</v>
      </c>
    </row>
    <row r="9" spans="1:11" x14ac:dyDescent="0.2">
      <c r="A9" s="31">
        <v>37408</v>
      </c>
      <c r="B9" s="15"/>
      <c r="C9" s="16" t="s">
        <v>85</v>
      </c>
      <c r="D9" s="32">
        <v>3.3</v>
      </c>
      <c r="E9" s="15"/>
      <c r="F9" s="18">
        <v>-2000000</v>
      </c>
      <c r="G9" s="32"/>
      <c r="H9" s="32">
        <f>+[3]Elpaso!$F9</f>
        <v>4.4549999999999992</v>
      </c>
      <c r="I9" s="17">
        <f>(-H9+D9)*F9</f>
        <v>2309999.9999999986</v>
      </c>
      <c r="J9" s="41"/>
      <c r="K9" s="41">
        <f>+I9</f>
        <v>2309999.9999999986</v>
      </c>
    </row>
    <row r="10" spans="1:11" x14ac:dyDescent="0.2">
      <c r="A10" s="31">
        <v>37438</v>
      </c>
      <c r="B10" s="15"/>
      <c r="C10" s="16" t="s">
        <v>85</v>
      </c>
      <c r="D10" s="32">
        <v>3.3</v>
      </c>
      <c r="E10" s="15"/>
      <c r="F10" s="18">
        <v>-3000000</v>
      </c>
      <c r="G10" s="32"/>
      <c r="H10" s="32">
        <f>+[3]Elpaso!$F10</f>
        <v>4.47</v>
      </c>
      <c r="I10" s="17">
        <f>(-H10+D10)*F10</f>
        <v>3510000</v>
      </c>
      <c r="J10" s="41"/>
      <c r="K10" s="41">
        <f>+I10</f>
        <v>3510000</v>
      </c>
    </row>
    <row r="11" spans="1:11" x14ac:dyDescent="0.2">
      <c r="A11" s="31">
        <v>37469</v>
      </c>
      <c r="B11" s="15"/>
      <c r="C11" s="16" t="s">
        <v>85</v>
      </c>
      <c r="D11" s="32">
        <v>3.3</v>
      </c>
      <c r="E11" s="15"/>
      <c r="F11" s="18">
        <v>-3000000</v>
      </c>
      <c r="G11" s="15"/>
      <c r="H11" s="32">
        <f>+[3]Elpaso!$F11</f>
        <v>4.47</v>
      </c>
      <c r="I11" s="17">
        <f>(-H11+D11)*F11</f>
        <v>3510000</v>
      </c>
      <c r="J11" s="39"/>
      <c r="K11" s="41">
        <f>+I11</f>
        <v>3510000</v>
      </c>
    </row>
    <row r="12" spans="1:11" x14ac:dyDescent="0.2">
      <c r="A12" s="31">
        <v>37500</v>
      </c>
      <c r="B12" s="15"/>
      <c r="C12" s="16" t="s">
        <v>85</v>
      </c>
      <c r="D12" s="32">
        <v>3.3</v>
      </c>
      <c r="E12" s="15"/>
      <c r="F12" s="18">
        <v>-3000000</v>
      </c>
      <c r="G12" s="15"/>
      <c r="H12" s="32">
        <f>+[3]Elpaso!$F12</f>
        <v>4.47</v>
      </c>
      <c r="I12" s="17">
        <f>(-H12+D12)*F12</f>
        <v>3510000</v>
      </c>
      <c r="J12" s="39"/>
      <c r="K12" s="41">
        <f>+I12</f>
        <v>3510000</v>
      </c>
    </row>
    <row r="13" spans="1:11" x14ac:dyDescent="0.2">
      <c r="A13" s="31">
        <v>37530</v>
      </c>
      <c r="B13" s="15"/>
      <c r="C13" s="16" t="s">
        <v>85</v>
      </c>
      <c r="D13" s="32">
        <v>3.3</v>
      </c>
      <c r="E13" s="15"/>
      <c r="F13" s="18">
        <v>-4000000</v>
      </c>
      <c r="G13" s="15"/>
      <c r="H13" s="32">
        <f>+[3]Elpaso!$F13</f>
        <v>4.4849999999999994</v>
      </c>
      <c r="I13" s="17">
        <f>(-H13+D13)*F13</f>
        <v>4739999.9999999981</v>
      </c>
      <c r="J13" s="39"/>
      <c r="K13" s="41">
        <f>+I13</f>
        <v>4739999.9999999981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17579999.999999996</v>
      </c>
      <c r="J15" s="39"/>
      <c r="K15" s="17">
        <f>SUM(K9:K14)</f>
        <v>17579999.999999996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70</v>
      </c>
      <c r="D17" s="32">
        <v>2.3199999999999998</v>
      </c>
      <c r="E17" s="15"/>
      <c r="F17" s="18">
        <v>-2000000</v>
      </c>
      <c r="G17" s="15"/>
      <c r="H17" s="32">
        <f>+[3]Elpaso!$F9</f>
        <v>4.4549999999999992</v>
      </c>
      <c r="I17" s="17">
        <f>(+H17-D17)*F17</f>
        <v>-4269999.9999999991</v>
      </c>
      <c r="J17" s="39"/>
      <c r="K17" s="41">
        <f>+I17</f>
        <v>-4269999.9999999991</v>
      </c>
    </row>
    <row r="18" spans="1:11" x14ac:dyDescent="0.2">
      <c r="A18" s="31">
        <v>37438</v>
      </c>
      <c r="B18" s="15"/>
      <c r="C18" s="16" t="s">
        <v>70</v>
      </c>
      <c r="D18" s="32">
        <v>2.3199999999999998</v>
      </c>
      <c r="E18" s="15"/>
      <c r="F18" s="18">
        <v>-3000000</v>
      </c>
      <c r="G18" s="15"/>
      <c r="H18" s="32">
        <f>+[3]Elpaso!$F10</f>
        <v>4.47</v>
      </c>
      <c r="I18" s="17">
        <f>(+H18-D18)*F18</f>
        <v>-6450000</v>
      </c>
      <c r="J18" s="39"/>
      <c r="K18" s="41">
        <f>+I18</f>
        <v>-6450000</v>
      </c>
    </row>
    <row r="19" spans="1:11" x14ac:dyDescent="0.2">
      <c r="A19" s="31">
        <v>37469</v>
      </c>
      <c r="B19" s="15"/>
      <c r="C19" s="16" t="s">
        <v>70</v>
      </c>
      <c r="D19" s="32">
        <v>2.3199999999999998</v>
      </c>
      <c r="E19" s="15"/>
      <c r="F19" s="18">
        <v>-3000000</v>
      </c>
      <c r="G19" s="15"/>
      <c r="H19" s="32">
        <f>+[3]Elpaso!$F11</f>
        <v>4.47</v>
      </c>
      <c r="I19" s="17">
        <f>(+H19-D19)*F19</f>
        <v>-6450000</v>
      </c>
      <c r="J19" s="39"/>
      <c r="K19" s="41">
        <f>+I19</f>
        <v>-6450000</v>
      </c>
    </row>
    <row r="20" spans="1:11" x14ac:dyDescent="0.2">
      <c r="A20" s="31">
        <v>37500</v>
      </c>
      <c r="B20" s="15"/>
      <c r="C20" s="16" t="s">
        <v>70</v>
      </c>
      <c r="D20" s="32">
        <v>2.3199999999999998</v>
      </c>
      <c r="E20" s="15"/>
      <c r="F20" s="18">
        <v>-3000000</v>
      </c>
      <c r="G20" s="15"/>
      <c r="H20" s="32">
        <f>+[3]Elpaso!$F12</f>
        <v>4.47</v>
      </c>
      <c r="I20" s="17">
        <f>(+H20-D20)*F20</f>
        <v>-6450000</v>
      </c>
      <c r="J20" s="39"/>
      <c r="K20" s="41">
        <f>+I20</f>
        <v>-6450000</v>
      </c>
    </row>
    <row r="21" spans="1:11" x14ac:dyDescent="0.2">
      <c r="A21" s="31">
        <v>37530</v>
      </c>
      <c r="B21" s="15"/>
      <c r="C21" s="16" t="s">
        <v>70</v>
      </c>
      <c r="D21" s="32">
        <v>2.3199999999999998</v>
      </c>
      <c r="E21" s="15"/>
      <c r="F21" s="18">
        <v>-4000000</v>
      </c>
      <c r="G21" s="15"/>
      <c r="H21" s="32">
        <f>+[3]Elpaso!$F13</f>
        <v>4.4849999999999994</v>
      </c>
      <c r="I21" s="17">
        <f>(+H21-D21)*F21</f>
        <v>-8659999.9999999981</v>
      </c>
      <c r="J21" s="39"/>
      <c r="K21" s="41">
        <f>+I21</f>
        <v>-8659999.9999999981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-32280000</v>
      </c>
      <c r="J23" s="39"/>
      <c r="K23" s="17">
        <f>SUM(K17:K22)</f>
        <v>-32280000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17"/>
      <c r="G25" s="15"/>
      <c r="H25" s="32"/>
      <c r="I25" s="118">
        <f>+I23+I15</f>
        <v>-14700000.000000004</v>
      </c>
      <c r="J25" s="39"/>
      <c r="K25" s="118">
        <f>+K23+K15</f>
        <v>-14700000.000000004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37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F6" workbookViewId="0">
      <selection activeCell="H14" sqref="H14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191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137</v>
      </c>
      <c r="E6" s="6"/>
      <c r="F6" s="6"/>
      <c r="G6" s="6"/>
      <c r="H6" s="6" t="s">
        <v>140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142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0.15</v>
      </c>
      <c r="E9" s="12"/>
      <c r="F9" s="12"/>
      <c r="G9" s="51"/>
      <c r="H9" s="13" t="s">
        <v>143</v>
      </c>
      <c r="I9" s="58"/>
      <c r="J9" s="58"/>
      <c r="K9" s="58"/>
      <c r="L9" s="20"/>
    </row>
    <row r="10" spans="1:12" x14ac:dyDescent="0.2">
      <c r="A10" s="31">
        <v>36892</v>
      </c>
      <c r="B10" s="15"/>
      <c r="C10" s="16" t="s">
        <v>98</v>
      </c>
      <c r="D10" s="32">
        <f>9.98+D9</f>
        <v>10.130000000000001</v>
      </c>
      <c r="E10" s="15"/>
      <c r="F10" s="18">
        <f>5000*31</f>
        <v>155000</v>
      </c>
      <c r="G10" s="32">
        <f>+D10-H10</f>
        <v>0.21000000000000085</v>
      </c>
      <c r="H10" s="32">
        <v>9.92</v>
      </c>
      <c r="I10" s="17">
        <f>(-H10+D10)*F10</f>
        <v>32550.000000000131</v>
      </c>
      <c r="J10" s="41">
        <f>+I10</f>
        <v>32550.000000000131</v>
      </c>
      <c r="K10" s="41"/>
    </row>
    <row r="11" spans="1:12" x14ac:dyDescent="0.2">
      <c r="A11" s="31">
        <v>36923</v>
      </c>
      <c r="B11" s="15"/>
      <c r="C11" s="16" t="s">
        <v>98</v>
      </c>
      <c r="D11" s="32">
        <f>+D9+'[3]Henry Hub'!$E$12</f>
        <v>6.4430000000000005</v>
      </c>
      <c r="E11" s="15"/>
      <c r="F11" s="18">
        <f>5000*28</f>
        <v>140000</v>
      </c>
      <c r="G11" s="32">
        <f>+D11-H11</f>
        <v>0.25</v>
      </c>
      <c r="H11" s="32">
        <f>+'[3]PEPL Tx, Ok'!$E12</f>
        <v>6.1930000000000005</v>
      </c>
      <c r="I11" s="17">
        <f>(-H11+D11)*F11</f>
        <v>35000</v>
      </c>
      <c r="J11" s="41"/>
      <c r="K11" s="41">
        <f>+I11</f>
        <v>35000</v>
      </c>
    </row>
    <row r="12" spans="1:12" x14ac:dyDescent="0.2">
      <c r="A12" s="31">
        <v>36951</v>
      </c>
      <c r="B12" s="15"/>
      <c r="C12" s="16" t="s">
        <v>98</v>
      </c>
      <c r="D12" s="32">
        <f>+D9+'[3]Henry Hub'!$E$13</f>
        <v>5.8570000000000002</v>
      </c>
      <c r="E12" s="15"/>
      <c r="F12" s="18">
        <f>5000*31</f>
        <v>155000</v>
      </c>
      <c r="G12" s="263">
        <f>+D12-H12</f>
        <v>0.22000000000000064</v>
      </c>
      <c r="H12" s="32">
        <f>+'[3]PEPL Tx, Ok'!$E13</f>
        <v>5.6369999999999996</v>
      </c>
      <c r="I12" s="17">
        <f>(-H12+D12)*F12</f>
        <v>34100.000000000102</v>
      </c>
      <c r="J12" s="39"/>
      <c r="K12" s="41">
        <f>+I12</f>
        <v>34100.000000000102</v>
      </c>
    </row>
    <row r="13" spans="1:12" x14ac:dyDescent="0.2">
      <c r="A13" s="31"/>
      <c r="B13" s="15"/>
      <c r="C13" s="16"/>
      <c r="D13" s="32"/>
      <c r="E13" s="15"/>
      <c r="F13" s="65"/>
      <c r="G13" s="15"/>
      <c r="H13" s="32"/>
      <c r="I13" s="66"/>
      <c r="J13" s="26"/>
      <c r="K13" s="67"/>
    </row>
    <row r="14" spans="1:12" x14ac:dyDescent="0.2">
      <c r="A14" s="31"/>
      <c r="B14" s="15"/>
      <c r="C14" s="16"/>
      <c r="D14" s="32">
        <f>SUM(D10:D12)/3</f>
        <v>7.4766666666666666</v>
      </c>
      <c r="E14" s="15"/>
      <c r="F14" s="18">
        <f>SUM(F10:F13)</f>
        <v>450000</v>
      </c>
      <c r="G14" s="15"/>
      <c r="H14" s="32">
        <f>SUM(H10:H12)/3</f>
        <v>7.25</v>
      </c>
      <c r="I14" s="17">
        <f>SUM(I10:I13)</f>
        <v>101650.00000000023</v>
      </c>
      <c r="J14" s="17">
        <f>SUM(J10:J13)</f>
        <v>32550.000000000131</v>
      </c>
      <c r="K14" s="17">
        <f>SUM(K10:K13)</f>
        <v>69100.000000000102</v>
      </c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351" t="s">
        <v>146</v>
      </c>
      <c r="H16" s="352"/>
      <c r="I16" s="17"/>
      <c r="J16" s="39"/>
      <c r="K16" s="19"/>
    </row>
    <row r="17" spans="1:11" x14ac:dyDescent="0.2">
      <c r="A17" s="31"/>
      <c r="B17" s="15"/>
      <c r="C17" s="16"/>
      <c r="D17" s="32"/>
      <c r="E17" s="15"/>
      <c r="F17" s="18"/>
      <c r="G17" s="353" t="s">
        <v>147</v>
      </c>
      <c r="H17" s="354"/>
      <c r="I17" s="17"/>
      <c r="J17" s="39"/>
      <c r="K17" s="19"/>
    </row>
    <row r="18" spans="1:11" x14ac:dyDescent="0.2">
      <c r="A18" s="31"/>
      <c r="B18" s="15"/>
      <c r="C18" s="16"/>
      <c r="D18" s="32"/>
      <c r="E18" s="15"/>
      <c r="F18" s="18"/>
      <c r="G18" s="351" t="s">
        <v>169</v>
      </c>
      <c r="H18" s="352"/>
      <c r="I18" s="17"/>
      <c r="J18" s="39"/>
      <c r="K18" s="19"/>
    </row>
    <row r="19" spans="1:11" x14ac:dyDescent="0.2">
      <c r="A19" s="31"/>
      <c r="B19" s="15"/>
      <c r="C19" s="16"/>
      <c r="D19" s="32"/>
      <c r="E19" s="15"/>
      <c r="F19" s="18"/>
      <c r="G19" s="209" t="s">
        <v>148</v>
      </c>
      <c r="H19" s="208" t="s">
        <v>149</v>
      </c>
      <c r="I19" s="17"/>
      <c r="J19" s="39"/>
      <c r="K19" s="19"/>
    </row>
    <row r="20" spans="1:11" x14ac:dyDescent="0.2">
      <c r="A20" s="31">
        <v>36892</v>
      </c>
      <c r="B20" s="15"/>
      <c r="C20" s="16" t="s">
        <v>144</v>
      </c>
      <c r="D20" s="32"/>
      <c r="E20" s="15"/>
      <c r="F20" s="18">
        <f>-5000*31</f>
        <v>-155000</v>
      </c>
      <c r="G20" s="32">
        <v>10.52</v>
      </c>
      <c r="H20" s="210">
        <f>9.92+0.228</f>
        <v>10.148</v>
      </c>
      <c r="I20" s="17">
        <f>(+G20-H20)*F20</f>
        <v>-57659.999999999985</v>
      </c>
      <c r="J20" s="41">
        <f>+I20</f>
        <v>-57659.999999999985</v>
      </c>
      <c r="K20" s="41"/>
    </row>
    <row r="21" spans="1:11" x14ac:dyDescent="0.2">
      <c r="A21" s="31">
        <v>36923</v>
      </c>
      <c r="B21" s="15"/>
      <c r="C21" s="16" t="s">
        <v>144</v>
      </c>
      <c r="D21" s="32"/>
      <c r="E21" s="15"/>
      <c r="F21" s="18">
        <f>-5000*28</f>
        <v>-140000</v>
      </c>
      <c r="G21" s="32">
        <f>+[3]Demarc!$E12</f>
        <v>6.423</v>
      </c>
      <c r="H21" s="32">
        <f>+'[3]PEPL Tx, Ok'!$E$12+0.228</f>
        <v>6.4210000000000003</v>
      </c>
      <c r="I21" s="17">
        <f>(+G21-H21)*F21</f>
        <v>-279.99999999996919</v>
      </c>
      <c r="J21" s="39"/>
      <c r="K21" s="41">
        <f>+I21</f>
        <v>-279.99999999996919</v>
      </c>
    </row>
    <row r="22" spans="1:11" x14ac:dyDescent="0.2">
      <c r="A22" s="31">
        <v>36951</v>
      </c>
      <c r="B22" s="15"/>
      <c r="C22" s="16" t="s">
        <v>144</v>
      </c>
      <c r="D22" s="32"/>
      <c r="E22" s="15"/>
      <c r="F22" s="18">
        <f>-5000*31</f>
        <v>-155000</v>
      </c>
      <c r="G22" s="32">
        <f>+[3]Demarc!$E13</f>
        <v>5.8369999999999997</v>
      </c>
      <c r="H22" s="32">
        <f>+'[3]PEPL Tx, Ok'!$E$13+0.228</f>
        <v>5.8649999999999993</v>
      </c>
      <c r="I22" s="17">
        <f>(+G22-H22)*F22</f>
        <v>4339.9999999999354</v>
      </c>
      <c r="J22" s="39"/>
      <c r="K22" s="41">
        <f>+I22</f>
        <v>4339.9999999999354</v>
      </c>
    </row>
    <row r="23" spans="1:11" x14ac:dyDescent="0.2">
      <c r="A23" s="31"/>
      <c r="B23" s="15"/>
      <c r="C23" s="16"/>
      <c r="D23" s="32"/>
      <c r="E23" s="15"/>
      <c r="F23" s="18"/>
      <c r="G23" s="15"/>
      <c r="H23" s="32"/>
      <c r="I23" s="17"/>
      <c r="J23" s="39"/>
      <c r="K23" s="41"/>
    </row>
    <row r="24" spans="1:11" x14ac:dyDescent="0.2">
      <c r="A24" s="31"/>
      <c r="B24" s="15"/>
      <c r="C24" s="16"/>
      <c r="D24" s="32"/>
      <c r="E24" s="15"/>
      <c r="F24" s="18"/>
      <c r="G24" s="211"/>
      <c r="H24" s="32"/>
      <c r="I24" s="17"/>
      <c r="J24" s="39"/>
      <c r="K24" s="41"/>
    </row>
    <row r="25" spans="1:11" x14ac:dyDescent="0.2">
      <c r="A25" s="31"/>
      <c r="B25" s="15"/>
      <c r="C25" s="16"/>
      <c r="D25" s="32"/>
      <c r="E25" s="15"/>
      <c r="F25" s="65"/>
      <c r="G25" s="15"/>
      <c r="H25" s="32"/>
      <c r="I25" s="66"/>
      <c r="J25" s="26"/>
      <c r="K25" s="67"/>
    </row>
    <row r="26" spans="1:11" x14ac:dyDescent="0.2">
      <c r="A26" s="31"/>
      <c r="B26" s="15"/>
      <c r="C26" s="16"/>
      <c r="D26" s="32"/>
      <c r="E26" s="15"/>
      <c r="F26" s="18">
        <f>SUM(F20:F25)</f>
        <v>-450000</v>
      </c>
      <c r="G26" s="15"/>
      <c r="H26" s="32"/>
      <c r="I26" s="17">
        <f>SUM(I20:I25)</f>
        <v>-53600.000000000022</v>
      </c>
      <c r="J26" s="17">
        <f>SUM(J20:J25)</f>
        <v>-57659.999999999985</v>
      </c>
      <c r="K26" s="17">
        <f>SUM(K20:K25)</f>
        <v>4059.9999999999663</v>
      </c>
    </row>
    <row r="27" spans="1:11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1" ht="13.5" thickBot="1" x14ac:dyDescent="0.25">
      <c r="A28" s="31"/>
      <c r="B28" s="15"/>
      <c r="C28" s="16"/>
      <c r="D28" s="32"/>
      <c r="E28" s="15"/>
      <c r="F28" s="117">
        <f>+F14+F26</f>
        <v>0</v>
      </c>
      <c r="G28" s="15"/>
      <c r="H28" s="32"/>
      <c r="I28" s="118">
        <f>+I26+I14</f>
        <v>48050.000000000211</v>
      </c>
      <c r="J28" s="118">
        <f>+J26+J14</f>
        <v>-25109.999999999854</v>
      </c>
      <c r="K28" s="118">
        <f>+K26+K14</f>
        <v>73160.000000000073</v>
      </c>
    </row>
    <row r="29" spans="1:11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1" x14ac:dyDescent="0.2">
      <c r="A31" s="29" t="s">
        <v>37</v>
      </c>
    </row>
  </sheetData>
  <mergeCells count="4">
    <mergeCell ref="A4:K4"/>
    <mergeCell ref="G16:H16"/>
    <mergeCell ref="G17:H17"/>
    <mergeCell ref="G18:H18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opLeftCell="D6" workbookViewId="0">
      <selection activeCell="H14" sqref="H14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145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137</v>
      </c>
      <c r="E6" s="6"/>
      <c r="F6" s="6"/>
      <c r="G6" s="6"/>
      <c r="H6" s="6" t="s">
        <v>140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142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0.15</v>
      </c>
      <c r="E9" s="12"/>
      <c r="F9" s="12"/>
      <c r="G9" s="51"/>
      <c r="H9" s="13" t="s">
        <v>143</v>
      </c>
      <c r="I9" s="58"/>
      <c r="J9" s="58"/>
      <c r="K9" s="58"/>
      <c r="L9" s="20"/>
    </row>
    <row r="10" spans="1:12" x14ac:dyDescent="0.2">
      <c r="A10" s="31">
        <v>36892</v>
      </c>
      <c r="B10" s="15"/>
      <c r="C10" s="16" t="s">
        <v>98</v>
      </c>
      <c r="D10" s="32">
        <f>9.98+D9</f>
        <v>10.130000000000001</v>
      </c>
      <c r="E10" s="15"/>
      <c r="F10" s="18">
        <f>5000*31</f>
        <v>155000</v>
      </c>
      <c r="G10" s="32"/>
      <c r="H10" s="32">
        <v>9.92</v>
      </c>
      <c r="I10" s="17">
        <f>(-H10+D10)*F10</f>
        <v>32550.000000000131</v>
      </c>
      <c r="J10" s="41">
        <f>+I10</f>
        <v>32550.000000000131</v>
      </c>
      <c r="K10" s="41"/>
    </row>
    <row r="11" spans="1:12" x14ac:dyDescent="0.2">
      <c r="A11" s="31">
        <v>36923</v>
      </c>
      <c r="B11" s="15"/>
      <c r="C11" s="16" t="s">
        <v>98</v>
      </c>
      <c r="D11" s="32">
        <f>+D9+'[3]Henry Hub'!$E$12</f>
        <v>6.4430000000000005</v>
      </c>
      <c r="E11" s="15"/>
      <c r="F11" s="18">
        <f>5000*28</f>
        <v>140000</v>
      </c>
      <c r="G11" s="32"/>
      <c r="H11" s="32">
        <f>+'[3]PEPL Tx, Ok'!$E12</f>
        <v>6.1930000000000005</v>
      </c>
      <c r="I11" s="17">
        <f>(-H11+D11)*F11</f>
        <v>35000</v>
      </c>
      <c r="J11" s="41"/>
      <c r="K11" s="41">
        <f>+I11</f>
        <v>35000</v>
      </c>
    </row>
    <row r="12" spans="1:12" x14ac:dyDescent="0.2">
      <c r="A12" s="31">
        <v>36951</v>
      </c>
      <c r="B12" s="15"/>
      <c r="C12" s="16" t="s">
        <v>98</v>
      </c>
      <c r="D12" s="32">
        <f>+D9+'[3]Henry Hub'!$E$13</f>
        <v>5.8570000000000002</v>
      </c>
      <c r="E12" s="15"/>
      <c r="F12" s="18">
        <f>5000*31</f>
        <v>155000</v>
      </c>
      <c r="G12" s="15"/>
      <c r="H12" s="32">
        <f>+'[3]PEPL Tx, Ok'!$E13</f>
        <v>5.6369999999999996</v>
      </c>
      <c r="I12" s="17">
        <f>(-H12+D12)*F12</f>
        <v>34100.000000000102</v>
      </c>
      <c r="J12" s="39"/>
      <c r="K12" s="41">
        <f>+I12</f>
        <v>34100.000000000102</v>
      </c>
    </row>
    <row r="13" spans="1:12" x14ac:dyDescent="0.2">
      <c r="A13" s="31"/>
      <c r="B13" s="15"/>
      <c r="C13" s="16"/>
      <c r="D13" s="32"/>
      <c r="E13" s="15"/>
      <c r="F13" s="65"/>
      <c r="G13" s="15"/>
      <c r="H13" s="32"/>
      <c r="I13" s="66"/>
      <c r="J13" s="26"/>
      <c r="K13" s="67"/>
    </row>
    <row r="14" spans="1:12" x14ac:dyDescent="0.2">
      <c r="A14" s="31"/>
      <c r="B14" s="15"/>
      <c r="C14" s="16"/>
      <c r="D14" s="32">
        <f>SUM(D10:D12)/3</f>
        <v>7.4766666666666666</v>
      </c>
      <c r="E14" s="15"/>
      <c r="F14" s="18">
        <f>SUM(F10:F13)</f>
        <v>450000</v>
      </c>
      <c r="G14" s="15"/>
      <c r="H14" s="32">
        <f>SUM(H10:H12)/3</f>
        <v>7.25</v>
      </c>
      <c r="I14" s="17">
        <f>SUM(I10:I13)</f>
        <v>101650.00000000023</v>
      </c>
      <c r="J14" s="17">
        <f>SUM(J10:J13)</f>
        <v>32550.000000000131</v>
      </c>
      <c r="K14" s="17">
        <f>SUM(K10:K13)</f>
        <v>69100.000000000102</v>
      </c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ht="13.5" thickBot="1" x14ac:dyDescent="0.25">
      <c r="A17" s="31"/>
      <c r="B17" s="15"/>
      <c r="C17" s="16"/>
      <c r="D17" s="32"/>
      <c r="E17" s="15"/>
      <c r="F17" s="117">
        <f>+F14</f>
        <v>450000</v>
      </c>
      <c r="G17" s="15"/>
      <c r="H17" s="32"/>
      <c r="I17" s="118">
        <f>+I14</f>
        <v>101650.00000000023</v>
      </c>
      <c r="J17" s="118">
        <f>+J14</f>
        <v>32550.000000000131</v>
      </c>
      <c r="K17" s="118">
        <f>+K14</f>
        <v>69100.000000000102</v>
      </c>
    </row>
    <row r="18" spans="1:11" ht="13.5" thickTop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40"/>
      <c r="K18" s="40"/>
    </row>
    <row r="20" spans="1:11" x14ac:dyDescent="0.2">
      <c r="A20" s="29" t="s">
        <v>37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D1" workbookViewId="0">
      <selection activeCell="D11" sqref="D11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</cols>
  <sheetData>
    <row r="1" spans="1:12" s="2" customFormat="1" ht="15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150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">
      <c r="G5" s="146"/>
      <c r="H5" s="146"/>
    </row>
    <row r="6" spans="1:12" s="7" customFormat="1" x14ac:dyDescent="0.2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">
      <c r="A8" s="202"/>
      <c r="B8" s="203"/>
      <c r="C8" s="203"/>
      <c r="D8" s="206" t="s">
        <v>139</v>
      </c>
      <c r="E8" s="203"/>
      <c r="F8" s="203"/>
      <c r="G8" s="204"/>
      <c r="H8" s="9" t="s">
        <v>151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">
      <c r="A9" s="11"/>
      <c r="B9" s="12"/>
      <c r="C9" s="12"/>
      <c r="D9" s="207">
        <v>0.9</v>
      </c>
      <c r="E9" s="12"/>
      <c r="F9" s="12"/>
      <c r="G9" s="51"/>
      <c r="H9" s="13"/>
      <c r="I9" s="58"/>
      <c r="J9" s="58"/>
      <c r="K9" s="58"/>
      <c r="L9" s="20"/>
    </row>
    <row r="10" spans="1:12" x14ac:dyDescent="0.2">
      <c r="A10" s="31">
        <v>36892</v>
      </c>
      <c r="B10" s="15"/>
      <c r="C10" s="16" t="s">
        <v>85</v>
      </c>
      <c r="D10" s="32">
        <f>9.98+D9</f>
        <v>10.88</v>
      </c>
      <c r="E10" s="15"/>
      <c r="F10" s="18">
        <f>-5000*31</f>
        <v>-155000</v>
      </c>
      <c r="G10" s="32">
        <f>+D10-H10</f>
        <v>0.36000000000000121</v>
      </c>
      <c r="H10" s="32">
        <v>10.52</v>
      </c>
      <c r="I10" s="17">
        <f>(-H10+D10)*F10</f>
        <v>-55800.000000000189</v>
      </c>
      <c r="J10" s="41">
        <f>+I10</f>
        <v>-55800.000000000189</v>
      </c>
      <c r="K10" s="41"/>
    </row>
    <row r="11" spans="1:12" x14ac:dyDescent="0.2">
      <c r="A11" s="31">
        <v>36923</v>
      </c>
      <c r="B11" s="15"/>
      <c r="C11" s="16" t="s">
        <v>85</v>
      </c>
      <c r="D11" s="32">
        <f>+D9+'[3]Henry Hub'!$E$12</f>
        <v>7.1930000000000005</v>
      </c>
      <c r="E11" s="15"/>
      <c r="F11" s="18">
        <f>-5000*28</f>
        <v>-140000</v>
      </c>
      <c r="G11" s="32">
        <f>+D11-H11</f>
        <v>0.77000000000000046</v>
      </c>
      <c r="H11" s="32">
        <f>+[3]Demarc!$E12</f>
        <v>6.423</v>
      </c>
      <c r="I11" s="17">
        <f>(-H11+D11)*F11</f>
        <v>-107800.00000000006</v>
      </c>
      <c r="J11" s="41"/>
      <c r="K11" s="41">
        <f>+I11</f>
        <v>-107800.00000000006</v>
      </c>
    </row>
    <row r="12" spans="1:12" x14ac:dyDescent="0.2">
      <c r="A12" s="31">
        <v>36951</v>
      </c>
      <c r="B12" s="15"/>
      <c r="C12" s="16" t="s">
        <v>85</v>
      </c>
      <c r="D12" s="32">
        <f>+D9+'[3]Henry Hub'!$E$13</f>
        <v>6.6070000000000002</v>
      </c>
      <c r="E12" s="15"/>
      <c r="F12" s="18">
        <f>-5000*31</f>
        <v>-155000</v>
      </c>
      <c r="G12" s="32">
        <f>+D12-H12</f>
        <v>0.77000000000000046</v>
      </c>
      <c r="H12" s="32">
        <f>+[3]Demarc!$E13</f>
        <v>5.8369999999999997</v>
      </c>
      <c r="I12" s="17">
        <f>(-H12+D12)*F12</f>
        <v>-119350.00000000007</v>
      </c>
      <c r="J12" s="39"/>
      <c r="K12" s="41">
        <f>+I12</f>
        <v>-119350.00000000007</v>
      </c>
    </row>
    <row r="13" spans="1:12" x14ac:dyDescent="0.2">
      <c r="A13" s="31"/>
      <c r="B13" s="15"/>
      <c r="C13" s="16"/>
      <c r="D13" s="32"/>
      <c r="E13" s="15"/>
      <c r="F13" s="65"/>
      <c r="G13" s="36">
        <f>SUM(G10:G12)/3</f>
        <v>0.63333333333333408</v>
      </c>
      <c r="H13" s="32"/>
      <c r="I13" s="66"/>
      <c r="J13" s="26"/>
      <c r="K13" s="67"/>
    </row>
    <row r="14" spans="1:12" x14ac:dyDescent="0.2">
      <c r="A14" s="31"/>
      <c r="B14" s="15"/>
      <c r="C14" s="16"/>
      <c r="D14" s="32">
        <f>SUM(D10:D12)/3</f>
        <v>8.2266666666666666</v>
      </c>
      <c r="E14" s="15"/>
      <c r="F14" s="18">
        <f>SUM(F10:F13)</f>
        <v>-450000</v>
      </c>
      <c r="G14" s="15"/>
      <c r="H14" s="32">
        <f>SUM(H10:H12)/3</f>
        <v>7.5933333333333328</v>
      </c>
      <c r="I14" s="17">
        <f>SUM(I10:I13)</f>
        <v>-282950.00000000029</v>
      </c>
      <c r="J14" s="17">
        <f>SUM(J10:J13)</f>
        <v>-55800.000000000189</v>
      </c>
      <c r="K14" s="17">
        <f>SUM(K10:K13)</f>
        <v>-227150.00000000012</v>
      </c>
    </row>
    <row r="15" spans="1:12" x14ac:dyDescent="0.2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">
      <c r="A16" s="31"/>
      <c r="B16" s="15"/>
      <c r="C16" s="16"/>
      <c r="D16" s="32"/>
      <c r="E16" s="15"/>
      <c r="F16" s="18"/>
      <c r="G16" s="351" t="s">
        <v>146</v>
      </c>
      <c r="H16" s="352"/>
      <c r="I16" s="17"/>
      <c r="J16" s="39"/>
      <c r="K16" s="19"/>
    </row>
    <row r="17" spans="1:11" x14ac:dyDescent="0.2">
      <c r="A17" s="31"/>
      <c r="B17" s="15"/>
      <c r="C17" s="16"/>
      <c r="D17" s="32"/>
      <c r="E17" s="15"/>
      <c r="F17" s="18"/>
      <c r="G17" s="353" t="s">
        <v>147</v>
      </c>
      <c r="H17" s="354"/>
      <c r="I17" s="17"/>
      <c r="J17" s="39"/>
      <c r="K17" s="19"/>
    </row>
    <row r="18" spans="1:11" x14ac:dyDescent="0.2">
      <c r="A18" s="31"/>
      <c r="B18" s="15"/>
      <c r="C18" s="16"/>
      <c r="D18" s="32"/>
      <c r="E18" s="15"/>
      <c r="F18" s="18"/>
      <c r="G18" s="351" t="s">
        <v>169</v>
      </c>
      <c r="H18" s="352"/>
      <c r="I18" s="17"/>
      <c r="J18" s="39"/>
      <c r="K18" s="19"/>
    </row>
    <row r="19" spans="1:11" x14ac:dyDescent="0.2">
      <c r="A19" s="31"/>
      <c r="B19" s="15"/>
      <c r="C19" s="16"/>
      <c r="D19" s="32"/>
      <c r="E19" s="15"/>
      <c r="F19" s="18"/>
      <c r="G19" s="209" t="s">
        <v>148</v>
      </c>
      <c r="H19" s="213" t="s">
        <v>154</v>
      </c>
      <c r="I19" s="17"/>
      <c r="J19" s="39"/>
      <c r="K19" s="19"/>
    </row>
    <row r="20" spans="1:11" x14ac:dyDescent="0.2">
      <c r="A20" s="31">
        <v>36892</v>
      </c>
      <c r="B20" s="15"/>
      <c r="C20" s="16" t="s">
        <v>168</v>
      </c>
      <c r="D20" s="32"/>
      <c r="E20" s="15"/>
      <c r="F20" s="18">
        <f>5000*31</f>
        <v>155000</v>
      </c>
      <c r="G20" s="32">
        <v>10.52</v>
      </c>
      <c r="H20" s="210">
        <f>9.92+0.228</f>
        <v>10.148</v>
      </c>
      <c r="I20" s="17">
        <f>(-G20+H20)*F20</f>
        <v>-57659.999999999985</v>
      </c>
      <c r="J20" s="41">
        <f>+I20</f>
        <v>-57659.999999999985</v>
      </c>
      <c r="K20" s="41"/>
    </row>
    <row r="21" spans="1:11" x14ac:dyDescent="0.2">
      <c r="A21" s="31">
        <v>36923</v>
      </c>
      <c r="B21" s="15"/>
      <c r="C21" s="16" t="s">
        <v>168</v>
      </c>
      <c r="D21" s="32"/>
      <c r="E21" s="15"/>
      <c r="F21" s="18">
        <f>5000*28</f>
        <v>140000</v>
      </c>
      <c r="G21" s="32">
        <f>+[3]Demarc!$E12</f>
        <v>6.423</v>
      </c>
      <c r="H21" s="210">
        <f>+'[3]PEPL Tx, Ok'!$E12+0.228</f>
        <v>6.4210000000000003</v>
      </c>
      <c r="I21" s="17">
        <f>(-G21+H21)*F21</f>
        <v>-279.99999999996919</v>
      </c>
      <c r="J21" s="39"/>
      <c r="K21" s="41">
        <f>+I21</f>
        <v>-279.99999999996919</v>
      </c>
    </row>
    <row r="22" spans="1:11" x14ac:dyDescent="0.2">
      <c r="A22" s="31">
        <v>36951</v>
      </c>
      <c r="B22" s="15"/>
      <c r="C22" s="16" t="s">
        <v>168</v>
      </c>
      <c r="D22" s="32"/>
      <c r="E22" s="15"/>
      <c r="F22" s="18">
        <f>5000*31</f>
        <v>155000</v>
      </c>
      <c r="G22" s="32">
        <f>+[3]Demarc!$E13</f>
        <v>5.8369999999999997</v>
      </c>
      <c r="H22" s="210">
        <f>+'[3]PEPL Tx, Ok'!$E13+0.228</f>
        <v>5.8649999999999993</v>
      </c>
      <c r="I22" s="17">
        <f>(-G22+H22)*F22</f>
        <v>4339.9999999999354</v>
      </c>
      <c r="J22" s="39"/>
      <c r="K22" s="41">
        <f>+I22</f>
        <v>4339.9999999999354</v>
      </c>
    </row>
    <row r="23" spans="1:11" x14ac:dyDescent="0.2">
      <c r="A23" s="31"/>
      <c r="B23" s="15"/>
      <c r="C23" s="16"/>
      <c r="D23" s="32"/>
      <c r="E23" s="15"/>
      <c r="F23" s="18"/>
      <c r="G23" s="15"/>
      <c r="H23" s="32"/>
      <c r="I23" s="17"/>
      <c r="J23" s="39"/>
      <c r="K23" s="41"/>
    </row>
    <row r="24" spans="1:11" x14ac:dyDescent="0.2">
      <c r="A24" s="31"/>
      <c r="B24" s="15"/>
      <c r="C24" s="16"/>
      <c r="D24" s="32"/>
      <c r="E24" s="15"/>
      <c r="F24" s="18"/>
      <c r="G24" s="211"/>
      <c r="H24" s="32"/>
      <c r="I24" s="32"/>
      <c r="J24" s="39"/>
      <c r="K24" s="41"/>
    </row>
    <row r="25" spans="1:11" x14ac:dyDescent="0.2">
      <c r="A25" s="31"/>
      <c r="B25" s="15"/>
      <c r="C25" s="16"/>
      <c r="D25" s="32"/>
      <c r="E25" s="15"/>
      <c r="F25" s="65"/>
      <c r="G25" s="15"/>
      <c r="H25" s="32"/>
      <c r="I25" s="66"/>
      <c r="J25" s="26"/>
      <c r="K25" s="67"/>
    </row>
    <row r="26" spans="1:11" x14ac:dyDescent="0.2">
      <c r="A26" s="31"/>
      <c r="B26" s="15"/>
      <c r="C26" s="16"/>
      <c r="D26" s="32"/>
      <c r="E26" s="15"/>
      <c r="F26" s="18">
        <f>SUM(F20:F25)</f>
        <v>450000</v>
      </c>
      <c r="G26" s="15"/>
      <c r="H26" s="32"/>
      <c r="I26" s="17">
        <f>SUM(I20:I25)</f>
        <v>-53600.000000000022</v>
      </c>
      <c r="J26" s="17">
        <f>SUM(J20:J25)</f>
        <v>-57659.999999999985</v>
      </c>
      <c r="K26" s="17">
        <f>SUM(K20:K25)</f>
        <v>4059.9999999999663</v>
      </c>
    </row>
    <row r="27" spans="1:11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1" ht="13.5" thickBot="1" x14ac:dyDescent="0.25">
      <c r="A28" s="31"/>
      <c r="B28" s="15"/>
      <c r="C28" s="16"/>
      <c r="D28" s="32"/>
      <c r="E28" s="15"/>
      <c r="F28" s="117">
        <f>+F14+F26</f>
        <v>0</v>
      </c>
      <c r="G28" s="15"/>
      <c r="H28" s="32"/>
      <c r="I28" s="118">
        <f>+I26+I14</f>
        <v>-336550.00000000029</v>
      </c>
      <c r="J28" s="118">
        <f>+J26+J14</f>
        <v>-113460.00000000017</v>
      </c>
      <c r="K28" s="118">
        <f>+K26+K14</f>
        <v>-223090.00000000015</v>
      </c>
    </row>
    <row r="29" spans="1:11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1" x14ac:dyDescent="0.2">
      <c r="A31" s="29" t="s">
        <v>37</v>
      </c>
    </row>
  </sheetData>
  <mergeCells count="4">
    <mergeCell ref="A4:K4"/>
    <mergeCell ref="G16:H16"/>
    <mergeCell ref="G17:H17"/>
    <mergeCell ref="G18:H18"/>
  </mergeCells>
  <pageMargins left="0.75" right="0.75" top="1" bottom="1" header="0.5" footer="0.5"/>
  <pageSetup scale="8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5</vt:i4>
      </vt:variant>
    </vt:vector>
  </HeadingPairs>
  <TitlesOfParts>
    <vt:vector size="53" baseType="lpstr">
      <vt:lpstr>Summary</vt:lpstr>
      <vt:lpstr>ENA_9</vt:lpstr>
      <vt:lpstr>ENA_11</vt:lpstr>
      <vt:lpstr>ENA_12</vt:lpstr>
      <vt:lpstr>ENA_13</vt:lpstr>
      <vt:lpstr>Elpaso_6</vt:lpstr>
      <vt:lpstr>TC #HJN1001</vt:lpstr>
      <vt:lpstr>TC #HJN1002</vt:lpstr>
      <vt:lpstr>ENA #QH8057.1</vt:lpstr>
      <vt:lpstr>ENA #QF8229.1</vt:lpstr>
      <vt:lpstr>ENA #QF1003.1</vt:lpstr>
      <vt:lpstr>ENA #QF0992.1</vt:lpstr>
      <vt:lpstr>M337849</vt:lpstr>
      <vt:lpstr>QK7503.1</vt:lpstr>
      <vt:lpstr>12007624</vt:lpstr>
      <vt:lpstr>SW17</vt:lpstr>
      <vt:lpstr>SW18</vt:lpstr>
      <vt:lpstr>HJN1003</vt:lpstr>
      <vt:lpstr>HJN1004</vt:lpstr>
      <vt:lpstr>QL2915.1</vt:lpstr>
      <vt:lpstr>QL2918.1</vt:lpstr>
      <vt:lpstr>1129080</vt:lpstr>
      <vt:lpstr>ENA #QN5116.1</vt:lpstr>
      <vt:lpstr>Cal 02.a</vt:lpstr>
      <vt:lpstr>Cal 02.b</vt:lpstr>
      <vt:lpstr>QL5358.1</vt:lpstr>
      <vt:lpstr>QL5357.1</vt:lpstr>
      <vt:lpstr>QL9273.1</vt:lpstr>
      <vt:lpstr>QL9270.1</vt:lpstr>
      <vt:lpstr>QL5363.1</vt:lpstr>
      <vt:lpstr>QL5365.1</vt:lpstr>
      <vt:lpstr>QL5444.1</vt:lpstr>
      <vt:lpstr>QL5424.1</vt:lpstr>
      <vt:lpstr>RMTC_2-expired</vt:lpstr>
      <vt:lpstr>ENA #QA4309.1-Expired</vt:lpstr>
      <vt:lpstr>ENA #QA5217.1-Expired</vt:lpstr>
      <vt:lpstr>ElPaso #1009351-Expired</vt:lpstr>
      <vt:lpstr>ENA_19-Expired</vt:lpstr>
      <vt:lpstr>El Paso_18-Expired</vt:lpstr>
      <vt:lpstr>ENA_#QO886.1-Expired</vt:lpstr>
      <vt:lpstr>ENA O6763.1-Expired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2001-02-09T19:43:52Z</cp:lastPrinted>
  <dcterms:created xsi:type="dcterms:W3CDTF">1999-02-26T14:05:48Z</dcterms:created>
  <dcterms:modified xsi:type="dcterms:W3CDTF">2023-09-12T04:19:57Z</dcterms:modified>
</cp:coreProperties>
</file>