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2888CF-6212-4FF9-B8A1-A12620BF62DF}" xr6:coauthVersionLast="47" xr6:coauthVersionMax="47" xr10:uidLastSave="{00000000-0000-0000-0000-000000000000}"/>
  <bookViews>
    <workbookView xWindow="-120" yWindow="-120" windowWidth="23280" windowHeight="13200"/>
  </bookViews>
  <sheets>
    <sheet name="Payment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D11" i="1"/>
  <c r="D14" i="1"/>
  <c r="D17" i="1"/>
  <c r="D18" i="1"/>
  <c r="D22" i="1"/>
  <c r="D23" i="1"/>
  <c r="D25" i="1"/>
  <c r="D26" i="1"/>
  <c r="D29" i="1"/>
  <c r="D31" i="1"/>
  <c r="D33" i="1"/>
  <c r="D38" i="1"/>
  <c r="C4" i="2"/>
  <c r="C5" i="2"/>
  <c r="D5" i="2"/>
  <c r="E5" i="2"/>
  <c r="F5" i="2"/>
  <c r="H5" i="2"/>
  <c r="I5" i="2"/>
  <c r="J5" i="2"/>
  <c r="K5" i="2"/>
  <c r="B6" i="2"/>
  <c r="C6" i="2"/>
  <c r="D6" i="2"/>
  <c r="E6" i="2"/>
  <c r="F6" i="2"/>
  <c r="H6" i="2"/>
  <c r="I6" i="2"/>
  <c r="J6" i="2"/>
  <c r="K6" i="2"/>
  <c r="B7" i="2"/>
  <c r="C7" i="2"/>
  <c r="D7" i="2"/>
  <c r="E7" i="2"/>
  <c r="F7" i="2"/>
  <c r="H7" i="2"/>
  <c r="I7" i="2"/>
  <c r="J7" i="2"/>
  <c r="K7" i="2"/>
  <c r="B8" i="2"/>
  <c r="C8" i="2"/>
  <c r="D8" i="2"/>
  <c r="E8" i="2"/>
  <c r="F8" i="2"/>
  <c r="H8" i="2"/>
  <c r="I8" i="2"/>
  <c r="J8" i="2"/>
  <c r="K8" i="2"/>
  <c r="B9" i="2"/>
  <c r="C9" i="2"/>
  <c r="D9" i="2"/>
  <c r="E9" i="2"/>
  <c r="F9" i="2"/>
  <c r="H9" i="2"/>
  <c r="I9" i="2"/>
  <c r="J9" i="2"/>
  <c r="K9" i="2"/>
  <c r="B10" i="2"/>
  <c r="C10" i="2"/>
  <c r="D10" i="2"/>
  <c r="E10" i="2"/>
  <c r="F10" i="2"/>
  <c r="H10" i="2"/>
  <c r="I10" i="2"/>
  <c r="J10" i="2"/>
  <c r="K10" i="2"/>
  <c r="B11" i="2"/>
  <c r="C11" i="2"/>
  <c r="D11" i="2"/>
  <c r="E11" i="2"/>
  <c r="F11" i="2"/>
  <c r="H11" i="2"/>
  <c r="I11" i="2"/>
  <c r="J11" i="2"/>
  <c r="K11" i="2"/>
  <c r="B12" i="2"/>
  <c r="C12" i="2"/>
  <c r="D12" i="2"/>
  <c r="E12" i="2"/>
  <c r="F12" i="2"/>
  <c r="H12" i="2"/>
  <c r="I12" i="2"/>
  <c r="J12" i="2"/>
  <c r="K12" i="2"/>
  <c r="B13" i="2"/>
  <c r="C13" i="2"/>
  <c r="D13" i="2"/>
  <c r="E13" i="2"/>
  <c r="F13" i="2"/>
  <c r="H13" i="2"/>
  <c r="I13" i="2"/>
  <c r="J13" i="2"/>
  <c r="K13" i="2"/>
  <c r="B14" i="2"/>
  <c r="C14" i="2"/>
  <c r="D14" i="2"/>
  <c r="E14" i="2"/>
  <c r="F14" i="2"/>
  <c r="H14" i="2"/>
  <c r="I14" i="2"/>
  <c r="J14" i="2"/>
  <c r="K14" i="2"/>
  <c r="B15" i="2"/>
  <c r="C15" i="2"/>
  <c r="D15" i="2"/>
  <c r="E15" i="2"/>
  <c r="F15" i="2"/>
  <c r="H15" i="2"/>
  <c r="I15" i="2"/>
  <c r="J15" i="2"/>
  <c r="K15" i="2"/>
  <c r="B16" i="2"/>
  <c r="C16" i="2"/>
  <c r="D16" i="2"/>
  <c r="E16" i="2"/>
  <c r="F16" i="2"/>
  <c r="H16" i="2"/>
  <c r="I16" i="2"/>
  <c r="J16" i="2"/>
  <c r="K16" i="2"/>
  <c r="B17" i="2"/>
  <c r="C17" i="2"/>
  <c r="D17" i="2"/>
  <c r="E17" i="2"/>
  <c r="F17" i="2"/>
  <c r="H17" i="2"/>
  <c r="I17" i="2"/>
  <c r="J17" i="2"/>
  <c r="K17" i="2"/>
  <c r="B18" i="2"/>
  <c r="C18" i="2"/>
  <c r="D18" i="2"/>
  <c r="E18" i="2"/>
  <c r="F18" i="2"/>
  <c r="H18" i="2"/>
  <c r="I18" i="2"/>
  <c r="J18" i="2"/>
  <c r="K18" i="2"/>
  <c r="B19" i="2"/>
  <c r="C19" i="2"/>
  <c r="D19" i="2"/>
  <c r="E19" i="2"/>
  <c r="F19" i="2"/>
  <c r="H19" i="2"/>
  <c r="I19" i="2"/>
  <c r="J19" i="2"/>
  <c r="K19" i="2"/>
  <c r="B20" i="2"/>
  <c r="C20" i="2"/>
  <c r="D20" i="2"/>
  <c r="E20" i="2"/>
  <c r="F20" i="2"/>
  <c r="H20" i="2"/>
  <c r="I20" i="2"/>
  <c r="J20" i="2"/>
  <c r="K20" i="2"/>
  <c r="B21" i="2"/>
  <c r="C21" i="2"/>
  <c r="D21" i="2"/>
  <c r="E21" i="2"/>
  <c r="F21" i="2"/>
  <c r="H21" i="2"/>
  <c r="I21" i="2"/>
  <c r="J21" i="2"/>
  <c r="K21" i="2"/>
  <c r="B22" i="2"/>
  <c r="C22" i="2"/>
  <c r="D22" i="2"/>
  <c r="E22" i="2"/>
  <c r="F22" i="2"/>
  <c r="H22" i="2"/>
  <c r="I22" i="2"/>
  <c r="J22" i="2"/>
  <c r="K22" i="2"/>
  <c r="B23" i="2"/>
  <c r="C23" i="2"/>
  <c r="D23" i="2"/>
  <c r="E23" i="2"/>
  <c r="F23" i="2"/>
  <c r="H23" i="2"/>
  <c r="I23" i="2"/>
  <c r="J23" i="2"/>
  <c r="K23" i="2"/>
  <c r="B24" i="2"/>
  <c r="C24" i="2"/>
  <c r="D24" i="2"/>
  <c r="E24" i="2"/>
  <c r="F24" i="2"/>
  <c r="H24" i="2"/>
  <c r="I24" i="2"/>
  <c r="J24" i="2"/>
  <c r="K24" i="2"/>
  <c r="B25" i="2"/>
  <c r="C25" i="2"/>
  <c r="D25" i="2"/>
  <c r="E25" i="2"/>
  <c r="F25" i="2"/>
  <c r="H25" i="2"/>
  <c r="I25" i="2"/>
  <c r="J25" i="2"/>
  <c r="K25" i="2"/>
  <c r="B26" i="2"/>
  <c r="C26" i="2"/>
  <c r="D26" i="2"/>
  <c r="E26" i="2"/>
  <c r="F26" i="2"/>
  <c r="H26" i="2"/>
  <c r="I26" i="2"/>
  <c r="J26" i="2"/>
  <c r="K26" i="2"/>
  <c r="B27" i="2"/>
  <c r="C27" i="2"/>
  <c r="D27" i="2"/>
  <c r="E27" i="2"/>
  <c r="F27" i="2"/>
  <c r="H27" i="2"/>
  <c r="I27" i="2"/>
  <c r="J27" i="2"/>
  <c r="K27" i="2"/>
  <c r="B28" i="2"/>
  <c r="C28" i="2"/>
  <c r="D28" i="2"/>
  <c r="E28" i="2"/>
  <c r="F28" i="2"/>
  <c r="H28" i="2"/>
  <c r="I28" i="2"/>
  <c r="J28" i="2"/>
  <c r="K28" i="2"/>
  <c r="B29" i="2"/>
  <c r="C29" i="2"/>
  <c r="D29" i="2"/>
  <c r="E29" i="2"/>
  <c r="F29" i="2"/>
  <c r="H29" i="2"/>
  <c r="I29" i="2"/>
  <c r="J29" i="2"/>
  <c r="K29" i="2"/>
  <c r="B30" i="2"/>
  <c r="C30" i="2"/>
  <c r="D30" i="2"/>
  <c r="E30" i="2"/>
  <c r="F30" i="2"/>
  <c r="H30" i="2"/>
  <c r="I30" i="2"/>
  <c r="J30" i="2"/>
  <c r="K30" i="2"/>
  <c r="B31" i="2"/>
  <c r="C31" i="2"/>
  <c r="D31" i="2"/>
  <c r="E31" i="2"/>
  <c r="F31" i="2"/>
  <c r="H31" i="2"/>
  <c r="I31" i="2"/>
  <c r="J31" i="2"/>
  <c r="K31" i="2"/>
  <c r="B32" i="2"/>
  <c r="C32" i="2"/>
  <c r="D32" i="2"/>
  <c r="E32" i="2"/>
  <c r="F32" i="2"/>
  <c r="H32" i="2"/>
  <c r="I32" i="2"/>
  <c r="J32" i="2"/>
  <c r="K32" i="2"/>
  <c r="B33" i="2"/>
  <c r="C33" i="2"/>
  <c r="D33" i="2"/>
  <c r="E33" i="2"/>
  <c r="F33" i="2"/>
  <c r="H33" i="2"/>
  <c r="I33" i="2"/>
  <c r="J33" i="2"/>
  <c r="K33" i="2"/>
  <c r="B34" i="2"/>
  <c r="C34" i="2"/>
  <c r="D34" i="2"/>
  <c r="E34" i="2"/>
  <c r="F34" i="2"/>
  <c r="H34" i="2"/>
  <c r="I34" i="2"/>
  <c r="J34" i="2"/>
  <c r="K34" i="2"/>
  <c r="B35" i="2"/>
  <c r="C35" i="2"/>
  <c r="D35" i="2"/>
  <c r="E35" i="2"/>
  <c r="F35" i="2"/>
  <c r="H35" i="2"/>
  <c r="I35" i="2"/>
  <c r="J35" i="2"/>
  <c r="K35" i="2"/>
  <c r="B36" i="2"/>
  <c r="C36" i="2"/>
  <c r="D36" i="2"/>
  <c r="E36" i="2"/>
  <c r="F36" i="2"/>
  <c r="H36" i="2"/>
  <c r="I36" i="2"/>
  <c r="J36" i="2"/>
  <c r="K36" i="2"/>
  <c r="B37" i="2"/>
  <c r="C37" i="2"/>
  <c r="D37" i="2"/>
  <c r="E37" i="2"/>
  <c r="F37" i="2"/>
  <c r="H37" i="2"/>
  <c r="I37" i="2"/>
  <c r="J37" i="2"/>
  <c r="K37" i="2"/>
  <c r="B38" i="2"/>
  <c r="C38" i="2"/>
  <c r="D38" i="2"/>
  <c r="E38" i="2"/>
  <c r="F38" i="2"/>
  <c r="H38" i="2"/>
  <c r="I38" i="2"/>
  <c r="J38" i="2"/>
  <c r="K38" i="2"/>
  <c r="B39" i="2"/>
  <c r="C39" i="2"/>
  <c r="D39" i="2"/>
  <c r="E39" i="2"/>
  <c r="F39" i="2"/>
  <c r="H39" i="2"/>
  <c r="I39" i="2"/>
  <c r="J39" i="2"/>
  <c r="K39" i="2"/>
  <c r="B40" i="2"/>
  <c r="C40" i="2"/>
  <c r="D40" i="2"/>
  <c r="E40" i="2"/>
  <c r="F40" i="2"/>
  <c r="H40" i="2"/>
  <c r="I40" i="2"/>
  <c r="J40" i="2"/>
  <c r="K40" i="2"/>
  <c r="B41" i="2"/>
  <c r="C41" i="2"/>
  <c r="D41" i="2"/>
  <c r="E41" i="2"/>
  <c r="F41" i="2"/>
  <c r="H41" i="2"/>
  <c r="I41" i="2"/>
  <c r="J41" i="2"/>
  <c r="K41" i="2"/>
  <c r="B42" i="2"/>
  <c r="C42" i="2"/>
  <c r="D42" i="2"/>
  <c r="E42" i="2"/>
  <c r="F42" i="2"/>
  <c r="H42" i="2"/>
  <c r="I42" i="2"/>
  <c r="J42" i="2"/>
  <c r="K42" i="2"/>
  <c r="B43" i="2"/>
  <c r="C43" i="2"/>
  <c r="D43" i="2"/>
  <c r="E43" i="2"/>
  <c r="F43" i="2"/>
  <c r="H43" i="2"/>
  <c r="I43" i="2"/>
  <c r="J43" i="2"/>
  <c r="K43" i="2"/>
  <c r="B44" i="2"/>
  <c r="C44" i="2"/>
  <c r="D44" i="2"/>
  <c r="E44" i="2"/>
  <c r="F44" i="2"/>
  <c r="H44" i="2"/>
  <c r="I44" i="2"/>
  <c r="J44" i="2"/>
  <c r="K44" i="2"/>
  <c r="B45" i="2"/>
  <c r="C45" i="2"/>
  <c r="D45" i="2"/>
  <c r="E45" i="2"/>
  <c r="F45" i="2"/>
  <c r="H45" i="2"/>
  <c r="I45" i="2"/>
  <c r="J45" i="2"/>
  <c r="K45" i="2"/>
  <c r="B46" i="2"/>
  <c r="C46" i="2"/>
  <c r="D46" i="2"/>
  <c r="E46" i="2"/>
  <c r="F46" i="2"/>
  <c r="H46" i="2"/>
  <c r="I46" i="2"/>
  <c r="J46" i="2"/>
  <c r="K46" i="2"/>
  <c r="B47" i="2"/>
  <c r="C47" i="2"/>
  <c r="D47" i="2"/>
  <c r="E47" i="2"/>
  <c r="F47" i="2"/>
  <c r="H47" i="2"/>
  <c r="I47" i="2"/>
  <c r="J47" i="2"/>
  <c r="K47" i="2"/>
  <c r="B48" i="2"/>
  <c r="C48" i="2"/>
  <c r="D48" i="2"/>
  <c r="E48" i="2"/>
  <c r="F48" i="2"/>
  <c r="H48" i="2"/>
  <c r="I48" i="2"/>
  <c r="J48" i="2"/>
  <c r="K48" i="2"/>
  <c r="B49" i="2"/>
  <c r="C49" i="2"/>
  <c r="D49" i="2"/>
  <c r="E49" i="2"/>
  <c r="F49" i="2"/>
  <c r="H49" i="2"/>
  <c r="I49" i="2"/>
  <c r="J49" i="2"/>
  <c r="K49" i="2"/>
  <c r="B50" i="2"/>
  <c r="C50" i="2"/>
  <c r="D50" i="2"/>
  <c r="E50" i="2"/>
  <c r="F50" i="2"/>
  <c r="H50" i="2"/>
  <c r="I50" i="2"/>
  <c r="J50" i="2"/>
  <c r="K50" i="2"/>
  <c r="B51" i="2"/>
  <c r="C51" i="2"/>
  <c r="D51" i="2"/>
  <c r="E51" i="2"/>
  <c r="F51" i="2"/>
  <c r="H51" i="2"/>
  <c r="I51" i="2"/>
  <c r="J51" i="2"/>
  <c r="K51" i="2"/>
  <c r="B52" i="2"/>
  <c r="C52" i="2"/>
  <c r="D52" i="2"/>
  <c r="E52" i="2"/>
  <c r="F52" i="2"/>
  <c r="H52" i="2"/>
  <c r="I52" i="2"/>
  <c r="J52" i="2"/>
  <c r="K52" i="2"/>
  <c r="B53" i="2"/>
  <c r="C53" i="2"/>
  <c r="D53" i="2"/>
  <c r="E53" i="2"/>
  <c r="F53" i="2"/>
  <c r="H53" i="2"/>
  <c r="I53" i="2"/>
  <c r="J53" i="2"/>
  <c r="K53" i="2"/>
  <c r="B54" i="2"/>
  <c r="C54" i="2"/>
  <c r="D54" i="2"/>
  <c r="E54" i="2"/>
  <c r="F54" i="2"/>
  <c r="H54" i="2"/>
  <c r="I54" i="2"/>
  <c r="J54" i="2"/>
  <c r="K54" i="2"/>
  <c r="B55" i="2"/>
  <c r="C55" i="2"/>
  <c r="D55" i="2"/>
  <c r="E55" i="2"/>
  <c r="F55" i="2"/>
  <c r="H55" i="2"/>
  <c r="I55" i="2"/>
  <c r="J55" i="2"/>
  <c r="K55" i="2"/>
  <c r="B56" i="2"/>
  <c r="C56" i="2"/>
  <c r="D56" i="2"/>
  <c r="E56" i="2"/>
  <c r="F56" i="2"/>
  <c r="H56" i="2"/>
  <c r="I56" i="2"/>
  <c r="J56" i="2"/>
  <c r="K56" i="2"/>
  <c r="B57" i="2"/>
  <c r="C57" i="2"/>
  <c r="D57" i="2"/>
  <c r="E57" i="2"/>
  <c r="F57" i="2"/>
  <c r="H57" i="2"/>
  <c r="I57" i="2"/>
  <c r="J57" i="2"/>
  <c r="K57" i="2"/>
  <c r="B58" i="2"/>
  <c r="C58" i="2"/>
  <c r="D58" i="2"/>
  <c r="E58" i="2"/>
  <c r="F58" i="2"/>
  <c r="H58" i="2"/>
  <c r="I58" i="2"/>
  <c r="J58" i="2"/>
  <c r="K58" i="2"/>
  <c r="B59" i="2"/>
  <c r="C59" i="2"/>
  <c r="D59" i="2"/>
  <c r="E59" i="2"/>
  <c r="F59" i="2"/>
  <c r="H59" i="2"/>
  <c r="I59" i="2"/>
  <c r="J59" i="2"/>
  <c r="K59" i="2"/>
  <c r="B60" i="2"/>
  <c r="C60" i="2"/>
  <c r="D60" i="2"/>
  <c r="E60" i="2"/>
  <c r="F60" i="2"/>
  <c r="H60" i="2"/>
  <c r="I60" i="2"/>
  <c r="J60" i="2"/>
  <c r="K60" i="2"/>
  <c r="B61" i="2"/>
  <c r="C61" i="2"/>
  <c r="D61" i="2"/>
  <c r="E61" i="2"/>
  <c r="F61" i="2"/>
  <c r="H61" i="2"/>
  <c r="I61" i="2"/>
  <c r="J61" i="2"/>
  <c r="K61" i="2"/>
  <c r="B62" i="2"/>
  <c r="C62" i="2"/>
  <c r="D62" i="2"/>
  <c r="E62" i="2"/>
  <c r="F62" i="2"/>
  <c r="H62" i="2"/>
  <c r="I62" i="2"/>
  <c r="J62" i="2"/>
  <c r="K62" i="2"/>
  <c r="B63" i="2"/>
  <c r="C63" i="2"/>
  <c r="D63" i="2"/>
  <c r="E63" i="2"/>
  <c r="F63" i="2"/>
  <c r="H63" i="2"/>
  <c r="I63" i="2"/>
  <c r="J63" i="2"/>
  <c r="K63" i="2"/>
  <c r="B64" i="2"/>
  <c r="C64" i="2"/>
  <c r="D64" i="2"/>
  <c r="E64" i="2"/>
  <c r="F64" i="2"/>
  <c r="H64" i="2"/>
  <c r="I64" i="2"/>
  <c r="J64" i="2"/>
  <c r="K64" i="2"/>
  <c r="B65" i="2"/>
  <c r="C65" i="2"/>
  <c r="D65" i="2"/>
  <c r="E65" i="2"/>
  <c r="F65" i="2"/>
  <c r="H65" i="2"/>
  <c r="I65" i="2"/>
  <c r="J65" i="2"/>
  <c r="K65" i="2"/>
  <c r="B66" i="2"/>
  <c r="C66" i="2"/>
  <c r="D66" i="2"/>
  <c r="E66" i="2"/>
  <c r="F66" i="2"/>
  <c r="H66" i="2"/>
  <c r="I66" i="2"/>
  <c r="J66" i="2"/>
  <c r="K66" i="2"/>
  <c r="B67" i="2"/>
  <c r="C67" i="2"/>
  <c r="D67" i="2"/>
  <c r="E67" i="2"/>
  <c r="F67" i="2"/>
  <c r="H67" i="2"/>
  <c r="I67" i="2"/>
  <c r="J67" i="2"/>
  <c r="K67" i="2"/>
  <c r="B68" i="2"/>
  <c r="C68" i="2"/>
  <c r="D68" i="2"/>
  <c r="E68" i="2"/>
  <c r="F68" i="2"/>
  <c r="H68" i="2"/>
  <c r="I68" i="2"/>
  <c r="J68" i="2"/>
  <c r="K68" i="2"/>
  <c r="B69" i="2"/>
  <c r="C69" i="2"/>
  <c r="D69" i="2"/>
  <c r="E69" i="2"/>
  <c r="F69" i="2"/>
  <c r="H69" i="2"/>
  <c r="I69" i="2"/>
  <c r="J69" i="2"/>
  <c r="K69" i="2"/>
  <c r="B70" i="2"/>
  <c r="C70" i="2"/>
  <c r="D70" i="2"/>
  <c r="E70" i="2"/>
  <c r="F70" i="2"/>
  <c r="H70" i="2"/>
  <c r="I70" i="2"/>
  <c r="J70" i="2"/>
  <c r="K70" i="2"/>
  <c r="B71" i="2"/>
  <c r="C71" i="2"/>
  <c r="D71" i="2"/>
  <c r="E71" i="2"/>
  <c r="F71" i="2"/>
  <c r="H71" i="2"/>
  <c r="I71" i="2"/>
  <c r="J71" i="2"/>
  <c r="K71" i="2"/>
  <c r="B72" i="2"/>
  <c r="C72" i="2"/>
  <c r="D72" i="2"/>
  <c r="E72" i="2"/>
  <c r="F72" i="2"/>
  <c r="H72" i="2"/>
  <c r="I72" i="2"/>
  <c r="J72" i="2"/>
  <c r="K72" i="2"/>
  <c r="B73" i="2"/>
  <c r="C73" i="2"/>
  <c r="D73" i="2"/>
  <c r="E73" i="2"/>
  <c r="F73" i="2"/>
  <c r="H73" i="2"/>
  <c r="I73" i="2"/>
  <c r="J73" i="2"/>
  <c r="K73" i="2"/>
  <c r="B74" i="2"/>
  <c r="C74" i="2"/>
  <c r="D74" i="2"/>
  <c r="E74" i="2"/>
  <c r="F74" i="2"/>
  <c r="H74" i="2"/>
  <c r="I74" i="2"/>
  <c r="J74" i="2"/>
  <c r="K74" i="2"/>
  <c r="B75" i="2"/>
  <c r="C75" i="2"/>
  <c r="D75" i="2"/>
  <c r="E75" i="2"/>
  <c r="F75" i="2"/>
  <c r="H75" i="2"/>
  <c r="I75" i="2"/>
  <c r="J75" i="2"/>
  <c r="K75" i="2"/>
  <c r="B76" i="2"/>
  <c r="C76" i="2"/>
  <c r="D76" i="2"/>
  <c r="E76" i="2"/>
  <c r="F76" i="2"/>
  <c r="H76" i="2"/>
  <c r="I76" i="2"/>
  <c r="J76" i="2"/>
  <c r="K76" i="2"/>
  <c r="B77" i="2"/>
  <c r="C77" i="2"/>
  <c r="D77" i="2"/>
  <c r="E77" i="2"/>
  <c r="F77" i="2"/>
  <c r="H77" i="2"/>
  <c r="I77" i="2"/>
  <c r="J77" i="2"/>
  <c r="K77" i="2"/>
  <c r="B78" i="2"/>
  <c r="C78" i="2"/>
  <c r="D78" i="2"/>
  <c r="E78" i="2"/>
  <c r="F78" i="2"/>
  <c r="H78" i="2"/>
  <c r="I78" i="2"/>
  <c r="J78" i="2"/>
  <c r="K78" i="2"/>
  <c r="B79" i="2"/>
  <c r="C79" i="2"/>
  <c r="D79" i="2"/>
  <c r="E79" i="2"/>
  <c r="F79" i="2"/>
  <c r="H79" i="2"/>
  <c r="I79" i="2"/>
  <c r="J79" i="2"/>
  <c r="K79" i="2"/>
  <c r="B80" i="2"/>
  <c r="C80" i="2"/>
  <c r="D80" i="2"/>
  <c r="E80" i="2"/>
  <c r="F80" i="2"/>
  <c r="H80" i="2"/>
  <c r="I80" i="2"/>
  <c r="J80" i="2"/>
  <c r="K80" i="2"/>
  <c r="B81" i="2"/>
  <c r="C81" i="2"/>
  <c r="D81" i="2"/>
  <c r="E81" i="2"/>
  <c r="F81" i="2"/>
  <c r="H81" i="2"/>
  <c r="I81" i="2"/>
  <c r="J81" i="2"/>
  <c r="K81" i="2"/>
  <c r="B82" i="2"/>
  <c r="C82" i="2"/>
  <c r="D82" i="2"/>
  <c r="E82" i="2"/>
  <c r="F82" i="2"/>
  <c r="H82" i="2"/>
  <c r="I82" i="2"/>
  <c r="J82" i="2"/>
  <c r="K82" i="2"/>
  <c r="B83" i="2"/>
  <c r="C83" i="2"/>
  <c r="D83" i="2"/>
  <c r="E83" i="2"/>
  <c r="F83" i="2"/>
  <c r="H83" i="2"/>
  <c r="I83" i="2"/>
  <c r="J83" i="2"/>
  <c r="K83" i="2"/>
  <c r="B84" i="2"/>
  <c r="C84" i="2"/>
  <c r="D84" i="2"/>
  <c r="E84" i="2"/>
  <c r="F84" i="2"/>
  <c r="H84" i="2"/>
  <c r="I84" i="2"/>
  <c r="J84" i="2"/>
  <c r="K84" i="2"/>
  <c r="B85" i="2"/>
  <c r="C85" i="2"/>
  <c r="D85" i="2"/>
  <c r="E85" i="2"/>
  <c r="F85" i="2"/>
  <c r="H85" i="2"/>
  <c r="I85" i="2"/>
  <c r="J85" i="2"/>
  <c r="K85" i="2"/>
  <c r="B86" i="2"/>
  <c r="C86" i="2"/>
  <c r="D86" i="2"/>
  <c r="E86" i="2"/>
  <c r="F86" i="2"/>
  <c r="H86" i="2"/>
  <c r="I86" i="2"/>
  <c r="J86" i="2"/>
  <c r="K86" i="2"/>
  <c r="B87" i="2"/>
  <c r="C87" i="2"/>
  <c r="D87" i="2"/>
  <c r="E87" i="2"/>
  <c r="F87" i="2"/>
  <c r="H87" i="2"/>
  <c r="I87" i="2"/>
  <c r="J87" i="2"/>
  <c r="K87" i="2"/>
  <c r="B88" i="2"/>
  <c r="C88" i="2"/>
  <c r="D88" i="2"/>
  <c r="E88" i="2"/>
  <c r="F88" i="2"/>
  <c r="H88" i="2"/>
  <c r="I88" i="2"/>
  <c r="J88" i="2"/>
  <c r="K88" i="2"/>
  <c r="B89" i="2"/>
  <c r="C89" i="2"/>
  <c r="D89" i="2"/>
  <c r="E89" i="2"/>
  <c r="F89" i="2"/>
  <c r="H89" i="2"/>
  <c r="I89" i="2"/>
  <c r="J89" i="2"/>
  <c r="K89" i="2"/>
  <c r="B90" i="2"/>
  <c r="C90" i="2"/>
  <c r="D90" i="2"/>
  <c r="E90" i="2"/>
  <c r="F90" i="2"/>
  <c r="H90" i="2"/>
  <c r="I90" i="2"/>
  <c r="J90" i="2"/>
  <c r="K90" i="2"/>
  <c r="B91" i="2"/>
  <c r="C91" i="2"/>
  <c r="D91" i="2"/>
  <c r="E91" i="2"/>
  <c r="F91" i="2"/>
  <c r="H91" i="2"/>
  <c r="I91" i="2"/>
  <c r="J91" i="2"/>
  <c r="K91" i="2"/>
  <c r="B92" i="2"/>
  <c r="C92" i="2"/>
  <c r="D92" i="2"/>
  <c r="E92" i="2"/>
  <c r="F92" i="2"/>
  <c r="H92" i="2"/>
  <c r="I92" i="2"/>
  <c r="J92" i="2"/>
  <c r="K92" i="2"/>
  <c r="B93" i="2"/>
  <c r="C93" i="2"/>
  <c r="D93" i="2"/>
  <c r="E93" i="2"/>
  <c r="F93" i="2"/>
  <c r="H93" i="2"/>
  <c r="I93" i="2"/>
  <c r="J93" i="2"/>
  <c r="K93" i="2"/>
  <c r="B94" i="2"/>
  <c r="C94" i="2"/>
  <c r="D94" i="2"/>
  <c r="E94" i="2"/>
  <c r="F94" i="2"/>
  <c r="H94" i="2"/>
  <c r="I94" i="2"/>
  <c r="J94" i="2"/>
  <c r="K94" i="2"/>
  <c r="B95" i="2"/>
  <c r="C95" i="2"/>
  <c r="D95" i="2"/>
  <c r="E95" i="2"/>
  <c r="F95" i="2"/>
  <c r="H95" i="2"/>
  <c r="I95" i="2"/>
  <c r="J95" i="2"/>
  <c r="K95" i="2"/>
  <c r="B96" i="2"/>
  <c r="C96" i="2"/>
  <c r="D96" i="2"/>
  <c r="E96" i="2"/>
  <c r="F96" i="2"/>
  <c r="H96" i="2"/>
  <c r="I96" i="2"/>
  <c r="J96" i="2"/>
  <c r="K96" i="2"/>
  <c r="B97" i="2"/>
  <c r="C97" i="2"/>
  <c r="D97" i="2"/>
  <c r="E97" i="2"/>
  <c r="F97" i="2"/>
  <c r="H97" i="2"/>
  <c r="I97" i="2"/>
  <c r="J97" i="2"/>
  <c r="K97" i="2"/>
  <c r="B98" i="2"/>
  <c r="C98" i="2"/>
  <c r="D98" i="2"/>
  <c r="E98" i="2"/>
  <c r="F98" i="2"/>
  <c r="H98" i="2"/>
  <c r="I98" i="2"/>
  <c r="J98" i="2"/>
  <c r="K98" i="2"/>
  <c r="B99" i="2"/>
  <c r="C99" i="2"/>
  <c r="D99" i="2"/>
  <c r="E99" i="2"/>
  <c r="F99" i="2"/>
  <c r="H99" i="2"/>
  <c r="I99" i="2"/>
  <c r="J99" i="2"/>
  <c r="K99" i="2"/>
  <c r="B100" i="2"/>
  <c r="C100" i="2"/>
  <c r="D100" i="2"/>
  <c r="E100" i="2"/>
  <c r="F100" i="2"/>
  <c r="H100" i="2"/>
  <c r="I100" i="2"/>
  <c r="J100" i="2"/>
  <c r="K100" i="2"/>
  <c r="B101" i="2"/>
  <c r="C101" i="2"/>
  <c r="D101" i="2"/>
  <c r="E101" i="2"/>
  <c r="F101" i="2"/>
  <c r="H101" i="2"/>
  <c r="I101" i="2"/>
  <c r="J101" i="2"/>
  <c r="K101" i="2"/>
  <c r="B102" i="2"/>
  <c r="C102" i="2"/>
  <c r="D102" i="2"/>
  <c r="E102" i="2"/>
  <c r="F102" i="2"/>
  <c r="H102" i="2"/>
  <c r="I102" i="2"/>
  <c r="J102" i="2"/>
  <c r="K102" i="2"/>
  <c r="B103" i="2"/>
  <c r="C103" i="2"/>
  <c r="D103" i="2"/>
  <c r="E103" i="2"/>
  <c r="F103" i="2"/>
  <c r="H103" i="2"/>
  <c r="I103" i="2"/>
  <c r="J103" i="2"/>
  <c r="K103" i="2"/>
  <c r="B104" i="2"/>
  <c r="C104" i="2"/>
  <c r="D104" i="2"/>
  <c r="E104" i="2"/>
  <c r="F104" i="2"/>
  <c r="H104" i="2"/>
  <c r="I104" i="2"/>
  <c r="J104" i="2"/>
  <c r="K104" i="2"/>
  <c r="B105" i="2"/>
  <c r="C105" i="2"/>
  <c r="D105" i="2"/>
  <c r="E105" i="2"/>
  <c r="F105" i="2"/>
  <c r="H105" i="2"/>
  <c r="I105" i="2"/>
  <c r="J105" i="2"/>
  <c r="K105" i="2"/>
  <c r="B106" i="2"/>
  <c r="C106" i="2"/>
  <c r="D106" i="2"/>
  <c r="E106" i="2"/>
  <c r="F106" i="2"/>
  <c r="H106" i="2"/>
  <c r="I106" i="2"/>
  <c r="J106" i="2"/>
  <c r="K106" i="2"/>
  <c r="B107" i="2"/>
  <c r="C107" i="2"/>
  <c r="D107" i="2"/>
  <c r="E107" i="2"/>
  <c r="F107" i="2"/>
  <c r="H107" i="2"/>
  <c r="I107" i="2"/>
  <c r="J107" i="2"/>
  <c r="K107" i="2"/>
  <c r="B108" i="2"/>
  <c r="C108" i="2"/>
  <c r="D108" i="2"/>
  <c r="E108" i="2"/>
  <c r="F108" i="2"/>
  <c r="H108" i="2"/>
  <c r="I108" i="2"/>
  <c r="J108" i="2"/>
  <c r="K108" i="2"/>
  <c r="B109" i="2"/>
  <c r="C109" i="2"/>
  <c r="D109" i="2"/>
  <c r="E109" i="2"/>
  <c r="F109" i="2"/>
  <c r="H109" i="2"/>
  <c r="I109" i="2"/>
  <c r="J109" i="2"/>
  <c r="K109" i="2"/>
  <c r="B110" i="2"/>
  <c r="C110" i="2"/>
  <c r="D110" i="2"/>
  <c r="E110" i="2"/>
  <c r="F110" i="2"/>
  <c r="H110" i="2"/>
  <c r="I110" i="2"/>
  <c r="J110" i="2"/>
  <c r="K110" i="2"/>
  <c r="B111" i="2"/>
  <c r="C111" i="2"/>
  <c r="D111" i="2"/>
  <c r="E111" i="2"/>
  <c r="F111" i="2"/>
  <c r="H111" i="2"/>
  <c r="I111" i="2"/>
  <c r="J111" i="2"/>
  <c r="K111" i="2"/>
  <c r="B112" i="2"/>
  <c r="C112" i="2"/>
  <c r="D112" i="2"/>
  <c r="E112" i="2"/>
  <c r="F112" i="2"/>
  <c r="H112" i="2"/>
  <c r="I112" i="2"/>
  <c r="J112" i="2"/>
  <c r="K112" i="2"/>
  <c r="B113" i="2"/>
  <c r="C113" i="2"/>
  <c r="D113" i="2"/>
  <c r="E113" i="2"/>
  <c r="F113" i="2"/>
  <c r="H113" i="2"/>
  <c r="I113" i="2"/>
  <c r="J113" i="2"/>
  <c r="K113" i="2"/>
  <c r="B114" i="2"/>
  <c r="C114" i="2"/>
  <c r="D114" i="2"/>
  <c r="E114" i="2"/>
  <c r="F114" i="2"/>
  <c r="H114" i="2"/>
  <c r="I114" i="2"/>
  <c r="J114" i="2"/>
  <c r="K114" i="2"/>
  <c r="B115" i="2"/>
  <c r="C115" i="2"/>
  <c r="D115" i="2"/>
  <c r="E115" i="2"/>
  <c r="F115" i="2"/>
  <c r="H115" i="2"/>
  <c r="I115" i="2"/>
  <c r="J115" i="2"/>
  <c r="K115" i="2"/>
  <c r="B116" i="2"/>
  <c r="C116" i="2"/>
  <c r="D116" i="2"/>
  <c r="E116" i="2"/>
  <c r="F116" i="2"/>
  <c r="H116" i="2"/>
  <c r="I116" i="2"/>
  <c r="J116" i="2"/>
  <c r="K116" i="2"/>
  <c r="B117" i="2"/>
  <c r="C117" i="2"/>
  <c r="D117" i="2"/>
  <c r="E117" i="2"/>
  <c r="F117" i="2"/>
  <c r="H117" i="2"/>
  <c r="I117" i="2"/>
  <c r="J117" i="2"/>
  <c r="K117" i="2"/>
  <c r="B118" i="2"/>
  <c r="C118" i="2"/>
  <c r="D118" i="2"/>
  <c r="E118" i="2"/>
  <c r="F118" i="2"/>
  <c r="H118" i="2"/>
  <c r="I118" i="2"/>
  <c r="J118" i="2"/>
  <c r="K118" i="2"/>
  <c r="B119" i="2"/>
  <c r="C119" i="2"/>
  <c r="D119" i="2"/>
  <c r="E119" i="2"/>
  <c r="F119" i="2"/>
  <c r="H119" i="2"/>
  <c r="I119" i="2"/>
  <c r="J119" i="2"/>
  <c r="K119" i="2"/>
  <c r="B120" i="2"/>
  <c r="C120" i="2"/>
  <c r="D120" i="2"/>
  <c r="E120" i="2"/>
  <c r="F120" i="2"/>
  <c r="H120" i="2"/>
  <c r="I120" i="2"/>
  <c r="J120" i="2"/>
  <c r="K120" i="2"/>
  <c r="B121" i="2"/>
  <c r="C121" i="2"/>
  <c r="D121" i="2"/>
  <c r="E121" i="2"/>
  <c r="F121" i="2"/>
  <c r="H121" i="2"/>
  <c r="I121" i="2"/>
  <c r="J121" i="2"/>
  <c r="K121" i="2"/>
  <c r="B122" i="2"/>
  <c r="C122" i="2"/>
  <c r="D122" i="2"/>
  <c r="E122" i="2"/>
  <c r="F122" i="2"/>
  <c r="H122" i="2"/>
  <c r="I122" i="2"/>
  <c r="J122" i="2"/>
  <c r="K122" i="2"/>
  <c r="B123" i="2"/>
  <c r="C123" i="2"/>
  <c r="D123" i="2"/>
  <c r="E123" i="2"/>
  <c r="F123" i="2"/>
  <c r="H123" i="2"/>
  <c r="I123" i="2"/>
  <c r="J123" i="2"/>
  <c r="K123" i="2"/>
  <c r="B124" i="2"/>
  <c r="C124" i="2"/>
  <c r="D124" i="2"/>
  <c r="E124" i="2"/>
  <c r="F124" i="2"/>
  <c r="H124" i="2"/>
  <c r="I124" i="2"/>
  <c r="J124" i="2"/>
  <c r="K124" i="2"/>
  <c r="H126" i="2"/>
  <c r="I126" i="2"/>
  <c r="J126" i="2"/>
  <c r="K126" i="2"/>
  <c r="C2" i="3"/>
  <c r="C3" i="3"/>
  <c r="C4" i="3"/>
  <c r="C5" i="3"/>
  <c r="D7" i="3"/>
  <c r="F7" i="3"/>
  <c r="D8" i="3"/>
  <c r="F8" i="3"/>
  <c r="D9" i="3"/>
  <c r="F9" i="3"/>
  <c r="D10" i="3"/>
  <c r="F10" i="3"/>
  <c r="F12" i="3"/>
  <c r="F13" i="3"/>
  <c r="F14" i="3"/>
  <c r="F15" i="3"/>
  <c r="F17" i="3"/>
</calcChain>
</file>

<file path=xl/sharedStrings.xml><?xml version="1.0" encoding="utf-8"?>
<sst xmlns="http://schemas.openxmlformats.org/spreadsheetml/2006/main" count="74" uniqueCount="51">
  <si>
    <t>Double Layered Case - $0.0365 @ $2.42</t>
  </si>
  <si>
    <t>Gas heat rates</t>
  </si>
  <si>
    <t>Base rate, 0-25% load factor</t>
  </si>
  <si>
    <t>Gas volume</t>
  </si>
  <si>
    <t>MMBtu/d</t>
  </si>
  <si>
    <t>Heat rate</t>
  </si>
  <si>
    <t>Btu/hp-hr</t>
  </si>
  <si>
    <t>Variable rate, 25% load factor +</t>
  </si>
  <si>
    <t>Total Mmbtu/d</t>
  </si>
  <si>
    <t>MMBtu</t>
  </si>
  <si>
    <t>Value of gas</t>
  </si>
  <si>
    <t>Less:</t>
  </si>
  <si>
    <t xml:space="preserve">     O&amp;M</t>
  </si>
  <si>
    <t xml:space="preserve">     Rebate</t>
  </si>
  <si>
    <t>kW hours</t>
  </si>
  <si>
    <t>$/kWh</t>
  </si>
  <si>
    <t>Year One Payment:</t>
  </si>
  <si>
    <t>ECS Adder</t>
  </si>
  <si>
    <t>Monetization</t>
  </si>
  <si>
    <t xml:space="preserve">ECS Option </t>
  </si>
  <si>
    <t>Total</t>
  </si>
  <si>
    <t>hp date</t>
  </si>
  <si>
    <t>gas start</t>
  </si>
  <si>
    <t>gas end</t>
  </si>
  <si>
    <t>days</t>
  </si>
  <si>
    <t>NPV</t>
  </si>
  <si>
    <t>disc gas val</t>
  </si>
  <si>
    <t>disc net m-m</t>
  </si>
  <si>
    <t>disc basis</t>
  </si>
  <si>
    <t>disc xport</t>
  </si>
  <si>
    <t>0-25% base load</t>
  </si>
  <si>
    <t>/d</t>
  </si>
  <si>
    <t>25%-95% var load</t>
  </si>
  <si>
    <t>0-95% energy load</t>
  </si>
  <si>
    <t>Fixed gas (non-var)</t>
  </si>
  <si>
    <t>O&amp;M Expense</t>
  </si>
  <si>
    <t>10MW Demand</t>
  </si>
  <si>
    <t>Cust Charge</t>
  </si>
  <si>
    <t>ECS Profit</t>
  </si>
  <si>
    <t>TW Gas stream</t>
  </si>
  <si>
    <t>Markable Gas</t>
  </si>
  <si>
    <t>Basis on Fixed gas</t>
  </si>
  <si>
    <t>Total gas flow</t>
  </si>
  <si>
    <t xml:space="preserve">     Value of Gas Stream</t>
  </si>
  <si>
    <t>per</t>
  </si>
  <si>
    <t>Fuel cost</t>
  </si>
  <si>
    <t>Year</t>
  </si>
  <si>
    <t>Max total possible flow (xport)</t>
  </si>
  <si>
    <t>Fuel cost of power @ 100% LF, 25% peaks hit</t>
  </si>
  <si>
    <t>Volumes at 100% LF:</t>
  </si>
  <si>
    <t>Value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</si>
</sst>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</numFmts>
  <fonts count="5" x14ac:knownFonts="1">
    <font>
      <sz val="11"/>
      <name val="Book Antiqua"/>
    </font>
    <font>
      <sz val="11"/>
      <name val="Book Antiqua"/>
    </font>
    <font>
      <sz val="14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1" applyNumberFormat="1"/>
    <xf numFmtId="0" fontId="0" fillId="0" borderId="1" xfId="0" applyBorder="1"/>
    <xf numFmtId="164" fontId="1" fillId="0" borderId="1" xfId="1" applyNumberFormat="1" applyBorder="1"/>
    <xf numFmtId="164" fontId="0" fillId="0" borderId="1" xfId="0" applyNumberFormat="1" applyBorder="1"/>
    <xf numFmtId="0" fontId="0" fillId="0" borderId="2" xfId="0" applyBorder="1"/>
    <xf numFmtId="164" fontId="1" fillId="0" borderId="2" xfId="1" applyNumberFormat="1" applyBorder="1"/>
    <xf numFmtId="0" fontId="4" fillId="0" borderId="0" xfId="0" applyFont="1"/>
    <xf numFmtId="166" fontId="1" fillId="0" borderId="0" xfId="2" applyNumberFormat="1"/>
    <xf numFmtId="166" fontId="1" fillId="0" borderId="2" xfId="1" applyNumberFormat="1" applyBorder="1"/>
    <xf numFmtId="164" fontId="3" fillId="0" borderId="1" xfId="1" applyNumberFormat="1" applyFont="1" applyBorder="1"/>
    <xf numFmtId="17" fontId="0" fillId="0" borderId="0" xfId="0" applyNumberFormat="1"/>
    <xf numFmtId="14" fontId="0" fillId="0" borderId="0" xfId="0" applyNumberFormat="1"/>
    <xf numFmtId="0" fontId="0" fillId="0" borderId="0" xfId="0" applyNumberFormat="1"/>
    <xf numFmtId="43" fontId="0" fillId="0" borderId="0" xfId="1" applyFont="1"/>
    <xf numFmtId="0" fontId="0" fillId="0" borderId="0" xfId="0" quotePrefix="1"/>
    <xf numFmtId="3" fontId="0" fillId="0" borderId="0" xfId="0" applyNumberFormat="1"/>
    <xf numFmtId="168" fontId="3" fillId="0" borderId="0" xfId="2" applyNumberFormat="1" applyFont="1"/>
    <xf numFmtId="17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9"/>
  <sheetViews>
    <sheetView tabSelected="1" topLeftCell="A18" workbookViewId="0">
      <selection activeCell="E39" sqref="E39"/>
    </sheetView>
  </sheetViews>
  <sheetFormatPr defaultRowHeight="16.5" x14ac:dyDescent="0.3"/>
  <cols>
    <col min="3" max="3" width="22.25" customWidth="1"/>
    <col min="4" max="4" width="12.625" customWidth="1"/>
    <col min="5" max="5" width="9.625" customWidth="1"/>
  </cols>
  <sheetData>
    <row r="2" spans="1:5" ht="18.75" x14ac:dyDescent="0.3">
      <c r="A2" s="1" t="s">
        <v>0</v>
      </c>
    </row>
    <row r="4" spans="1:5" x14ac:dyDescent="0.3">
      <c r="A4" s="2" t="s">
        <v>48</v>
      </c>
    </row>
    <row r="6" spans="1:5" x14ac:dyDescent="0.3">
      <c r="A6" t="s">
        <v>1</v>
      </c>
    </row>
    <row r="7" spans="1:5" x14ac:dyDescent="0.3">
      <c r="B7" t="s">
        <v>2</v>
      </c>
    </row>
    <row r="8" spans="1:5" x14ac:dyDescent="0.3">
      <c r="C8" t="s">
        <v>3</v>
      </c>
      <c r="D8" s="3">
        <f>Sheet3!C2</f>
        <v>2978.3999999999996</v>
      </c>
      <c r="E8" t="s">
        <v>4</v>
      </c>
    </row>
    <row r="9" spans="1:5" x14ac:dyDescent="0.3">
      <c r="C9" t="s">
        <v>5</v>
      </c>
      <c r="D9" s="4">
        <v>49640</v>
      </c>
      <c r="E9" t="s">
        <v>6</v>
      </c>
    </row>
    <row r="10" spans="1:5" x14ac:dyDescent="0.3">
      <c r="B10" t="s">
        <v>7</v>
      </c>
      <c r="D10" s="4"/>
    </row>
    <row r="11" spans="1:5" x14ac:dyDescent="0.3">
      <c r="C11" t="s">
        <v>3</v>
      </c>
      <c r="D11" s="4">
        <f>Sheet3!C3</f>
        <v>1092.5999999999999</v>
      </c>
      <c r="E11" t="s">
        <v>4</v>
      </c>
    </row>
    <row r="12" spans="1:5" x14ac:dyDescent="0.3">
      <c r="C12" t="s">
        <v>5</v>
      </c>
      <c r="D12" s="4">
        <v>6070</v>
      </c>
      <c r="E12" t="s">
        <v>6</v>
      </c>
    </row>
    <row r="13" spans="1:5" x14ac:dyDescent="0.3">
      <c r="D13" s="4"/>
    </row>
    <row r="14" spans="1:5" ht="17.25" thickBot="1" x14ac:dyDescent="0.35">
      <c r="B14" s="5" t="s">
        <v>8</v>
      </c>
      <c r="C14" s="5"/>
      <c r="D14" s="6">
        <f>+D11+D8</f>
        <v>4070.9999999999995</v>
      </c>
      <c r="E14" s="7"/>
    </row>
    <row r="15" spans="1:5" ht="17.25" thickTop="1" x14ac:dyDescent="0.3">
      <c r="D15" s="4"/>
      <c r="E15" s="3"/>
    </row>
    <row r="16" spans="1:5" x14ac:dyDescent="0.3">
      <c r="B16" s="2" t="s">
        <v>48</v>
      </c>
      <c r="D16" s="4"/>
    </row>
    <row r="17" spans="1:5" x14ac:dyDescent="0.3">
      <c r="C17" t="s">
        <v>3</v>
      </c>
      <c r="D17" s="4">
        <f>D14*365</f>
        <v>1485914.9999999998</v>
      </c>
      <c r="E17" t="s">
        <v>9</v>
      </c>
    </row>
    <row r="18" spans="1:5" x14ac:dyDescent="0.3">
      <c r="C18" t="s">
        <v>10</v>
      </c>
      <c r="D18" s="4">
        <f>D17*2.42</f>
        <v>3595914.2999999993</v>
      </c>
      <c r="E18" s="3"/>
    </row>
    <row r="19" spans="1:5" x14ac:dyDescent="0.3">
      <c r="C19" t="s">
        <v>11</v>
      </c>
      <c r="D19" s="4"/>
    </row>
    <row r="20" spans="1:5" x14ac:dyDescent="0.3">
      <c r="C20" t="s">
        <v>12</v>
      </c>
      <c r="D20" s="4">
        <v>150000</v>
      </c>
    </row>
    <row r="21" spans="1:5" x14ac:dyDescent="0.3">
      <c r="C21" t="s">
        <v>13</v>
      </c>
      <c r="D21" s="4">
        <v>999332.34246027051</v>
      </c>
    </row>
    <row r="22" spans="1:5" x14ac:dyDescent="0.3">
      <c r="C22" t="s">
        <v>43</v>
      </c>
      <c r="D22" s="4">
        <f>365*Sheet3!F12*2.42</f>
        <v>369185.23819999985</v>
      </c>
    </row>
    <row r="23" spans="1:5" x14ac:dyDescent="0.3">
      <c r="C23" s="8" t="s">
        <v>45</v>
      </c>
      <c r="D23" s="9">
        <f>+D18-SUM(D20:D22)</f>
        <v>2077396.7193397291</v>
      </c>
    </row>
    <row r="24" spans="1:5" x14ac:dyDescent="0.3">
      <c r="D24" s="4"/>
    </row>
    <row r="25" spans="1:5" x14ac:dyDescent="0.3">
      <c r="C25" t="s">
        <v>14</v>
      </c>
      <c r="D25" s="4">
        <f>24*365*10000*0.7457/0.951</f>
        <v>68689085.173501581</v>
      </c>
    </row>
    <row r="26" spans="1:5" x14ac:dyDescent="0.3">
      <c r="A26" s="2"/>
      <c r="B26" s="2"/>
      <c r="C26" s="2" t="s">
        <v>15</v>
      </c>
      <c r="D26" s="20">
        <f>+D23/D25</f>
        <v>3.0243476297470522E-2</v>
      </c>
    </row>
    <row r="28" spans="1:5" x14ac:dyDescent="0.3">
      <c r="B28" s="10" t="s">
        <v>16</v>
      </c>
      <c r="D28" s="4"/>
    </row>
    <row r="29" spans="1:5" x14ac:dyDescent="0.3">
      <c r="A29" s="4"/>
      <c r="C29" t="s">
        <v>50</v>
      </c>
      <c r="D29" s="11">
        <f>Sheet2!I126</f>
        <v>55141.408460523649</v>
      </c>
      <c r="E29" s="4"/>
    </row>
    <row r="30" spans="1:5" x14ac:dyDescent="0.3">
      <c r="A30" s="4"/>
      <c r="C30" t="s">
        <v>17</v>
      </c>
      <c r="D30" s="4">
        <v>500000</v>
      </c>
      <c r="E30" s="4"/>
    </row>
    <row r="31" spans="1:5" x14ac:dyDescent="0.3">
      <c r="A31" s="4"/>
      <c r="C31" t="s">
        <v>18</v>
      </c>
      <c r="D31" s="4">
        <f>Sheet2!H126</f>
        <v>2298454.1932197134</v>
      </c>
      <c r="E31" s="4"/>
    </row>
    <row r="32" spans="1:5" x14ac:dyDescent="0.3">
      <c r="A32" s="4"/>
      <c r="C32" t="s">
        <v>19</v>
      </c>
      <c r="D32" s="4">
        <v>0</v>
      </c>
      <c r="E32" s="4"/>
    </row>
    <row r="33" spans="1:5" x14ac:dyDescent="0.3">
      <c r="A33" s="4"/>
      <c r="C33" t="s">
        <v>20</v>
      </c>
      <c r="D33" s="12">
        <f>SUM(D29:D32)</f>
        <v>2853595.6016802369</v>
      </c>
      <c r="E33" s="4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D35" s="4"/>
      <c r="E35" s="4"/>
    </row>
    <row r="36" spans="1:5" x14ac:dyDescent="0.3">
      <c r="A36" s="4"/>
      <c r="B36" s="4"/>
      <c r="D36" s="4"/>
      <c r="E36" s="4"/>
    </row>
    <row r="37" spans="1:5" x14ac:dyDescent="0.3">
      <c r="A37" s="4"/>
      <c r="B37" s="4"/>
      <c r="C37" s="4"/>
      <c r="D37" s="4"/>
      <c r="E37" s="4"/>
    </row>
    <row r="38" spans="1:5" ht="17.25" thickBot="1" x14ac:dyDescent="0.35">
      <c r="A38" s="4"/>
      <c r="B38" s="2" t="s">
        <v>20</v>
      </c>
      <c r="D38" s="13">
        <f>+D33+D35</f>
        <v>2853595.6016802369</v>
      </c>
      <c r="E38" s="4"/>
    </row>
    <row r="39" spans="1:5" ht="17.25" thickTop="1" x14ac:dyDescent="0.3">
      <c r="A39" s="4"/>
      <c r="B39" s="4"/>
      <c r="C39" s="4"/>
      <c r="D39" s="4"/>
      <c r="E39" s="4"/>
    </row>
    <row r="40" spans="1:5" x14ac:dyDescent="0.3">
      <c r="A40" s="4"/>
      <c r="B40" s="4"/>
      <c r="C40" s="4"/>
      <c r="D40" s="4"/>
      <c r="E40" s="4"/>
    </row>
    <row r="41" spans="1:5" x14ac:dyDescent="0.3">
      <c r="A41" s="4"/>
      <c r="B41" s="4"/>
      <c r="C41" s="4"/>
      <c r="D41" s="4"/>
      <c r="E41" s="4"/>
    </row>
    <row r="42" spans="1:5" x14ac:dyDescent="0.3">
      <c r="A42" s="4"/>
      <c r="B42" s="4"/>
      <c r="C42" s="4"/>
      <c r="D42" s="4"/>
      <c r="E42" s="4"/>
    </row>
    <row r="43" spans="1:5" x14ac:dyDescent="0.3">
      <c r="A43" s="4"/>
      <c r="B43" s="4"/>
      <c r="C43" s="4"/>
      <c r="D43" s="4"/>
      <c r="E43" s="4"/>
    </row>
    <row r="44" spans="1:5" x14ac:dyDescent="0.3">
      <c r="A44" s="4"/>
      <c r="B44" s="4"/>
      <c r="C44" s="4"/>
      <c r="D44" s="4"/>
      <c r="E44" s="4"/>
    </row>
    <row r="45" spans="1:5" x14ac:dyDescent="0.3">
      <c r="A45" s="4"/>
      <c r="B45" s="4"/>
      <c r="C45" s="4"/>
      <c r="D45" s="4"/>
      <c r="E45" s="4"/>
    </row>
    <row r="46" spans="1:5" x14ac:dyDescent="0.3">
      <c r="A46" s="4"/>
      <c r="B46" s="4"/>
      <c r="C46" s="4"/>
      <c r="D46" s="4"/>
      <c r="E46" s="4"/>
    </row>
    <row r="47" spans="1:5" x14ac:dyDescent="0.3">
      <c r="A47" s="4"/>
      <c r="B47" s="4"/>
      <c r="C47" s="4"/>
      <c r="D47" s="4"/>
      <c r="E47" s="4"/>
    </row>
    <row r="48" spans="1:5" x14ac:dyDescent="0.3">
      <c r="A48" s="4"/>
      <c r="B48" s="4"/>
      <c r="C48" s="4"/>
      <c r="D48" s="4"/>
      <c r="E48" s="4"/>
    </row>
    <row r="49" spans="1:5" x14ac:dyDescent="0.3">
      <c r="A49" s="4"/>
      <c r="B49" s="4"/>
      <c r="C49" s="4"/>
      <c r="D49" s="4"/>
      <c r="E49" s="4"/>
    </row>
    <row r="50" spans="1:5" x14ac:dyDescent="0.3">
      <c r="A50" s="4"/>
      <c r="B50" s="4"/>
      <c r="C50" s="4"/>
      <c r="D50" s="4"/>
      <c r="E50" s="4"/>
    </row>
    <row r="51" spans="1:5" x14ac:dyDescent="0.3">
      <c r="A51" s="4"/>
      <c r="B51" s="4"/>
      <c r="C51" s="4"/>
      <c r="D51" s="4"/>
      <c r="E51" s="4"/>
    </row>
    <row r="52" spans="1:5" x14ac:dyDescent="0.3">
      <c r="A52" s="4"/>
      <c r="B52" s="4"/>
      <c r="C52" s="4"/>
      <c r="D52" s="4"/>
      <c r="E52" s="4"/>
    </row>
    <row r="53" spans="1:5" x14ac:dyDescent="0.3">
      <c r="A53" s="4"/>
      <c r="B53" s="4"/>
      <c r="C53" s="4"/>
      <c r="D53" s="4"/>
      <c r="E53" s="4"/>
    </row>
    <row r="54" spans="1:5" x14ac:dyDescent="0.3">
      <c r="A54" s="4"/>
      <c r="B54" s="4"/>
      <c r="C54" s="4"/>
      <c r="D54" s="4"/>
      <c r="E54" s="4"/>
    </row>
    <row r="55" spans="1:5" x14ac:dyDescent="0.3">
      <c r="A55" s="4"/>
      <c r="B55" s="4"/>
      <c r="C55" s="4"/>
      <c r="D55" s="4"/>
      <c r="E55" s="4"/>
    </row>
    <row r="56" spans="1:5" x14ac:dyDescent="0.3">
      <c r="A56" s="4"/>
      <c r="B56" s="4"/>
      <c r="C56" s="4"/>
      <c r="D56" s="4"/>
      <c r="E56" s="4"/>
    </row>
    <row r="57" spans="1:5" x14ac:dyDescent="0.3">
      <c r="A57" s="4"/>
      <c r="B57" s="4"/>
      <c r="C57" s="4"/>
      <c r="D57" s="4"/>
      <c r="E57" s="4"/>
    </row>
    <row r="58" spans="1:5" x14ac:dyDescent="0.3">
      <c r="A58" s="4"/>
      <c r="B58" s="4"/>
      <c r="C58" s="4"/>
      <c r="D58" s="4"/>
      <c r="E58" s="4"/>
    </row>
    <row r="59" spans="1:5" x14ac:dyDescent="0.3">
      <c r="A59" s="4"/>
      <c r="B59" s="4"/>
      <c r="C59" s="4"/>
      <c r="D59" s="4"/>
      <c r="E59" s="4"/>
    </row>
    <row r="60" spans="1:5" x14ac:dyDescent="0.3">
      <c r="A60" s="4"/>
      <c r="B60" s="4"/>
      <c r="C60" s="4"/>
      <c r="D60" s="4"/>
      <c r="E60" s="4"/>
    </row>
    <row r="61" spans="1:5" x14ac:dyDescent="0.3">
      <c r="A61" s="4"/>
      <c r="B61" s="4"/>
      <c r="C61" s="4"/>
      <c r="D61" s="4"/>
      <c r="E61" s="4"/>
    </row>
    <row r="62" spans="1:5" x14ac:dyDescent="0.3">
      <c r="A62" s="4"/>
      <c r="B62" s="4"/>
      <c r="C62" s="4"/>
      <c r="D62" s="4"/>
      <c r="E62" s="4"/>
    </row>
    <row r="63" spans="1:5" x14ac:dyDescent="0.3">
      <c r="A63" s="4"/>
      <c r="B63" s="4"/>
      <c r="C63" s="4"/>
      <c r="D63" s="4"/>
      <c r="E63" s="4"/>
    </row>
    <row r="64" spans="1:5" x14ac:dyDescent="0.3">
      <c r="A64" s="4"/>
      <c r="B64" s="4"/>
      <c r="C64" s="4"/>
      <c r="D64" s="4"/>
      <c r="E64" s="4"/>
    </row>
    <row r="65" spans="1:5" x14ac:dyDescent="0.3">
      <c r="A65" s="4"/>
      <c r="B65" s="4"/>
      <c r="C65" s="4"/>
      <c r="D65" s="4"/>
      <c r="E65" s="4"/>
    </row>
    <row r="66" spans="1:5" x14ac:dyDescent="0.3">
      <c r="A66" s="4"/>
      <c r="B66" s="4"/>
      <c r="C66" s="4"/>
      <c r="D66" s="4"/>
      <c r="E66" s="4"/>
    </row>
    <row r="67" spans="1:5" x14ac:dyDescent="0.3">
      <c r="A67" s="4"/>
      <c r="B67" s="4"/>
      <c r="C67" s="4"/>
      <c r="D67" s="4"/>
      <c r="E67" s="4"/>
    </row>
    <row r="68" spans="1:5" x14ac:dyDescent="0.3">
      <c r="A68" s="4"/>
      <c r="B68" s="4"/>
      <c r="C68" s="4"/>
      <c r="D68" s="4"/>
      <c r="E68" s="4"/>
    </row>
    <row r="69" spans="1:5" x14ac:dyDescent="0.3">
      <c r="A69" s="4"/>
      <c r="B69" s="4"/>
      <c r="C69" s="4"/>
      <c r="D69" s="4"/>
      <c r="E69" s="4"/>
    </row>
    <row r="70" spans="1:5" x14ac:dyDescent="0.3">
      <c r="A70" s="4"/>
      <c r="B70" s="4"/>
      <c r="C70" s="4"/>
      <c r="D70" s="4"/>
      <c r="E70" s="4"/>
    </row>
    <row r="71" spans="1:5" x14ac:dyDescent="0.3">
      <c r="A71" s="4"/>
      <c r="B71" s="4"/>
      <c r="C71" s="4"/>
      <c r="D71" s="4"/>
      <c r="E71" s="4"/>
    </row>
    <row r="72" spans="1:5" x14ac:dyDescent="0.3">
      <c r="A72" s="4"/>
      <c r="B72" s="4"/>
      <c r="C72" s="4"/>
      <c r="D72" s="4"/>
      <c r="E72" s="4"/>
    </row>
    <row r="73" spans="1:5" x14ac:dyDescent="0.3">
      <c r="A73" s="4"/>
      <c r="B73" s="4"/>
      <c r="C73" s="4"/>
      <c r="D73" s="4"/>
      <c r="E73" s="4"/>
    </row>
    <row r="74" spans="1:5" x14ac:dyDescent="0.3">
      <c r="A74" s="4"/>
      <c r="B74" s="4"/>
      <c r="C74" s="4"/>
      <c r="D74" s="4"/>
      <c r="E74" s="4"/>
    </row>
    <row r="75" spans="1:5" x14ac:dyDescent="0.3">
      <c r="A75" s="4"/>
      <c r="B75" s="4"/>
      <c r="C75" s="4"/>
      <c r="D75" s="4"/>
      <c r="E75" s="4"/>
    </row>
    <row r="76" spans="1:5" x14ac:dyDescent="0.3">
      <c r="A76" s="4"/>
      <c r="B76" s="4"/>
      <c r="C76" s="4"/>
      <c r="D76" s="4"/>
      <c r="E76" s="4"/>
    </row>
    <row r="77" spans="1:5" x14ac:dyDescent="0.3">
      <c r="A77" s="4"/>
      <c r="B77" s="4"/>
      <c r="C77" s="4"/>
      <c r="D77" s="4"/>
      <c r="E77" s="4"/>
    </row>
    <row r="78" spans="1:5" x14ac:dyDescent="0.3">
      <c r="A78" s="4"/>
      <c r="B78" s="4"/>
      <c r="C78" s="4"/>
      <c r="D78" s="4"/>
      <c r="E78" s="4"/>
    </row>
    <row r="79" spans="1:5" x14ac:dyDescent="0.3">
      <c r="A79" s="4"/>
      <c r="B79" s="4"/>
      <c r="C79" s="4"/>
      <c r="D79" s="4"/>
      <c r="E79" s="4"/>
    </row>
    <row r="80" spans="1:5" x14ac:dyDescent="0.3">
      <c r="A80" s="4"/>
      <c r="B80" s="4"/>
      <c r="C80" s="4"/>
      <c r="D80" s="4"/>
      <c r="E80" s="4"/>
    </row>
    <row r="81" spans="1:5" x14ac:dyDescent="0.3">
      <c r="A81" s="4"/>
      <c r="B81" s="4"/>
      <c r="C81" s="4"/>
      <c r="D81" s="4"/>
      <c r="E81" s="4"/>
    </row>
    <row r="82" spans="1:5" x14ac:dyDescent="0.3">
      <c r="A82" s="4"/>
      <c r="B82" s="4"/>
      <c r="C82" s="4"/>
      <c r="D82" s="4"/>
      <c r="E82" s="4"/>
    </row>
    <row r="83" spans="1:5" x14ac:dyDescent="0.3">
      <c r="A83" s="4"/>
      <c r="B83" s="4"/>
      <c r="C83" s="4"/>
      <c r="D83" s="4"/>
      <c r="E83" s="4"/>
    </row>
    <row r="84" spans="1:5" x14ac:dyDescent="0.3">
      <c r="A84" s="4"/>
      <c r="B84" s="4"/>
      <c r="C84" s="4"/>
      <c r="D84" s="4"/>
      <c r="E84" s="4"/>
    </row>
    <row r="85" spans="1:5" x14ac:dyDescent="0.3">
      <c r="A85" s="4"/>
      <c r="B85" s="4"/>
      <c r="C85" s="4"/>
      <c r="D85" s="4"/>
      <c r="E85" s="4"/>
    </row>
    <row r="86" spans="1:5" x14ac:dyDescent="0.3">
      <c r="A86" s="4"/>
      <c r="B86" s="4"/>
      <c r="C86" s="4"/>
      <c r="D86" s="4"/>
      <c r="E86" s="4"/>
    </row>
    <row r="87" spans="1:5" x14ac:dyDescent="0.3">
      <c r="A87" s="4"/>
      <c r="B87" s="4"/>
      <c r="C87" s="4"/>
      <c r="D87" s="4"/>
      <c r="E87" s="4"/>
    </row>
    <row r="88" spans="1:5" x14ac:dyDescent="0.3">
      <c r="A88" s="4"/>
      <c r="B88" s="4"/>
      <c r="C88" s="4"/>
      <c r="D88" s="4"/>
      <c r="E88" s="4"/>
    </row>
    <row r="89" spans="1:5" x14ac:dyDescent="0.3">
      <c r="A89" s="4"/>
      <c r="B89" s="4"/>
      <c r="C89" s="4"/>
      <c r="D89" s="4"/>
      <c r="E89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K126"/>
  <sheetViews>
    <sheetView topLeftCell="B5" workbookViewId="0">
      <selection activeCell="I124" sqref="I5:I124"/>
    </sheetView>
  </sheetViews>
  <sheetFormatPr defaultRowHeight="16.5" x14ac:dyDescent="0.3"/>
  <cols>
    <col min="3" max="4" width="9.125" bestFit="1" customWidth="1"/>
    <col min="7" max="7" width="3.25" customWidth="1"/>
    <col min="8" max="8" width="12.625" bestFit="1" customWidth="1"/>
    <col min="9" max="10" width="11.75" customWidth="1"/>
    <col min="11" max="11" width="10.875" customWidth="1"/>
  </cols>
  <sheetData>
    <row r="3" spans="1:11" x14ac:dyDescent="0.3">
      <c r="A3" t="s">
        <v>44</v>
      </c>
      <c r="B3" t="s">
        <v>21</v>
      </c>
      <c r="C3" t="s">
        <v>22</v>
      </c>
      <c r="D3" t="s">
        <v>23</v>
      </c>
      <c r="E3" t="s">
        <v>24</v>
      </c>
      <c r="F3" t="s">
        <v>46</v>
      </c>
      <c r="H3" t="s">
        <v>26</v>
      </c>
      <c r="I3" t="s">
        <v>27</v>
      </c>
      <c r="J3" t="s">
        <v>28</v>
      </c>
      <c r="K3" t="s">
        <v>29</v>
      </c>
    </row>
    <row r="4" spans="1:11" x14ac:dyDescent="0.3">
      <c r="A4">
        <v>0</v>
      </c>
      <c r="B4" s="14">
        <v>36616</v>
      </c>
      <c r="C4" s="15">
        <f>EOMONTH(B4,-1)+1</f>
        <v>36586</v>
      </c>
      <c r="D4" s="15"/>
      <c r="E4" s="16"/>
    </row>
    <row r="5" spans="1:11" x14ac:dyDescent="0.3">
      <c r="A5">
        <v>1</v>
      </c>
      <c r="B5" s="21">
        <v>36647</v>
      </c>
      <c r="C5" s="15">
        <f t="shared" ref="C5:C36" si="0">EOMONTH(B5,1)+1</f>
        <v>36708</v>
      </c>
      <c r="D5" s="15">
        <f t="shared" ref="D5:D36" si="1">EOMONTH(C5,0)</f>
        <v>36738</v>
      </c>
      <c r="E5" s="16">
        <f>D5-C5+1</f>
        <v>31</v>
      </c>
      <c r="F5">
        <f t="shared" ref="F5:F36" si="2">YEARFRAC($C$4,D5)</f>
        <v>0.41666666666666669</v>
      </c>
      <c r="H5">
        <f>2.42*Sheet3!$F$12*E5/1.1^F5</f>
        <v>30134.653680673422</v>
      </c>
      <c r="I5">
        <f>1.5%*Sheet3!$F$13*E5*2.42/1.1^F5</f>
        <v>722.94990795302419</v>
      </c>
      <c r="J5">
        <f>0*Sheet3!$F$14*E5/1.1^F5</f>
        <v>0</v>
      </c>
      <c r="K5">
        <f>0.05*Sheet3!$F$17*E5/1.1^F5</f>
        <v>6064.3722027233898</v>
      </c>
    </row>
    <row r="6" spans="1:11" x14ac:dyDescent="0.3">
      <c r="A6">
        <v>2</v>
      </c>
      <c r="B6" s="14">
        <f t="shared" ref="B6:B37" si="3">EOMONTH(B5,0)+1</f>
        <v>36678</v>
      </c>
      <c r="C6" s="15">
        <f t="shared" si="0"/>
        <v>36739</v>
      </c>
      <c r="D6" s="15">
        <f t="shared" si="1"/>
        <v>36769</v>
      </c>
      <c r="E6" s="16">
        <f t="shared" ref="E6:E69" si="4">D6-C6+1</f>
        <v>31</v>
      </c>
      <c r="F6">
        <f t="shared" si="2"/>
        <v>0.5</v>
      </c>
      <c r="H6">
        <f>2.42*Sheet3!$F$12*E6/1.1^F6</f>
        <v>29896.256731200268</v>
      </c>
      <c r="I6">
        <f>1.5%*Sheet3!$F$13*E6*2.42/1.1^F6</f>
        <v>717.23061034621503</v>
      </c>
      <c r="J6">
        <f>0*Sheet3!$F$14*E6/1.1^F6</f>
        <v>0</v>
      </c>
      <c r="K6">
        <f>0.05*Sheet3!$F$17*E6/1.1^F6</f>
        <v>6016.3966112691487</v>
      </c>
    </row>
    <row r="7" spans="1:11" x14ac:dyDescent="0.3">
      <c r="A7">
        <v>3</v>
      </c>
      <c r="B7" s="14">
        <f t="shared" si="3"/>
        <v>36708</v>
      </c>
      <c r="C7" s="15">
        <f t="shared" si="0"/>
        <v>36770</v>
      </c>
      <c r="D7" s="15">
        <f t="shared" si="1"/>
        <v>36799</v>
      </c>
      <c r="E7" s="16">
        <f t="shared" si="4"/>
        <v>30</v>
      </c>
      <c r="F7">
        <f t="shared" si="2"/>
        <v>0.5805555555555556</v>
      </c>
      <c r="H7">
        <f>2.42*Sheet3!$F$12*E7/1.1^F7</f>
        <v>28710.57989568184</v>
      </c>
      <c r="I7">
        <f>1.5%*Sheet3!$F$13*E7*2.42/1.1^F7</f>
        <v>688.78545321305614</v>
      </c>
      <c r="J7">
        <f>0*Sheet3!$F$14*E7/1.1^F7</f>
        <v>0</v>
      </c>
      <c r="K7">
        <f>0.05*Sheet3!$F$17*E7/1.1^F7</f>
        <v>5777.7880737719188</v>
      </c>
    </row>
    <row r="8" spans="1:11" x14ac:dyDescent="0.3">
      <c r="A8">
        <v>4</v>
      </c>
      <c r="B8" s="14">
        <f t="shared" si="3"/>
        <v>36739</v>
      </c>
      <c r="C8" s="15">
        <f t="shared" si="0"/>
        <v>36800</v>
      </c>
      <c r="D8" s="15">
        <f t="shared" si="1"/>
        <v>36830</v>
      </c>
      <c r="E8" s="16">
        <f t="shared" si="4"/>
        <v>31</v>
      </c>
      <c r="F8">
        <f t="shared" si="2"/>
        <v>0.66666666666666663</v>
      </c>
      <c r="H8">
        <f>2.42*Sheet3!$F$12*E8/1.1^F8</f>
        <v>29425.105827472849</v>
      </c>
      <c r="I8">
        <f>1.5%*Sheet3!$F$13*E8*2.42/1.1^F8</f>
        <v>705.92739425184277</v>
      </c>
      <c r="J8">
        <f>0*Sheet3!$F$14*E8/1.1^F8</f>
        <v>0</v>
      </c>
      <c r="K8">
        <f>0.05*Sheet3!$F$17*E8/1.1^F8</f>
        <v>5921.5810386685898</v>
      </c>
    </row>
    <row r="9" spans="1:11" x14ac:dyDescent="0.3">
      <c r="A9">
        <v>5</v>
      </c>
      <c r="B9" s="14">
        <f t="shared" si="3"/>
        <v>36770</v>
      </c>
      <c r="C9" s="15">
        <f t="shared" si="0"/>
        <v>36831</v>
      </c>
      <c r="D9" s="15">
        <f t="shared" si="1"/>
        <v>36860</v>
      </c>
      <c r="E9" s="16">
        <f t="shared" si="4"/>
        <v>30</v>
      </c>
      <c r="F9">
        <f t="shared" si="2"/>
        <v>0.74722222222222223</v>
      </c>
      <c r="H9">
        <f>2.42*Sheet3!$F$12*E9/1.1^F9</f>
        <v>28258.114699586848</v>
      </c>
      <c r="I9">
        <f>1.5%*Sheet3!$F$13*E9*2.42/1.1^F9</f>
        <v>677.93051937724397</v>
      </c>
      <c r="J9">
        <f>0*Sheet3!$F$14*E9/1.1^F9</f>
        <v>0</v>
      </c>
      <c r="K9">
        <f>0.05*Sheet3!$F$17*E9/1.1^F9</f>
        <v>5686.732859168339</v>
      </c>
    </row>
    <row r="10" spans="1:11" x14ac:dyDescent="0.3">
      <c r="A10">
        <v>6</v>
      </c>
      <c r="B10" s="14">
        <f t="shared" si="3"/>
        <v>36800</v>
      </c>
      <c r="C10" s="15">
        <f t="shared" si="0"/>
        <v>36861</v>
      </c>
      <c r="D10" s="15">
        <f t="shared" si="1"/>
        <v>36891</v>
      </c>
      <c r="E10" s="16">
        <f t="shared" si="4"/>
        <v>31</v>
      </c>
      <c r="F10">
        <f t="shared" si="2"/>
        <v>0.83333333333333337</v>
      </c>
      <c r="H10">
        <f>2.42*Sheet3!$F$12*E10/1.1^F10</f>
        <v>28961.380039741682</v>
      </c>
      <c r="I10">
        <f>1.5%*Sheet3!$F$13*E10*2.42/1.1^F10</f>
        <v>694.80231151128021</v>
      </c>
      <c r="J10">
        <f>0*Sheet3!$F$14*E10/1.1^F10</f>
        <v>0</v>
      </c>
      <c r="K10">
        <f>0.05*Sheet3!$F$17*E10/1.1^F10</f>
        <v>5828.2597147667839</v>
      </c>
    </row>
    <row r="11" spans="1:11" x14ac:dyDescent="0.3">
      <c r="A11">
        <v>7</v>
      </c>
      <c r="B11" s="14">
        <f t="shared" si="3"/>
        <v>36831</v>
      </c>
      <c r="C11" s="15">
        <f t="shared" si="0"/>
        <v>36892</v>
      </c>
      <c r="D11" s="15">
        <f t="shared" si="1"/>
        <v>36922</v>
      </c>
      <c r="E11" s="16">
        <f t="shared" si="4"/>
        <v>31</v>
      </c>
      <c r="F11">
        <f t="shared" si="2"/>
        <v>0.91666666666666663</v>
      </c>
      <c r="H11">
        <f>2.42*Sheet3!$F$12*E11/1.1^F11</f>
        <v>28732.264924394094</v>
      </c>
      <c r="I11">
        <f>1.5%*Sheet3!$F$13*E11*2.42/1.1^F11</f>
        <v>689.30569113175295</v>
      </c>
      <c r="J11">
        <f>0*Sheet3!$F$14*E11/1.1^F11</f>
        <v>0</v>
      </c>
      <c r="K11">
        <f>0.05*Sheet3!$F$17*E11/1.1^F11</f>
        <v>5782.1520225576387</v>
      </c>
    </row>
    <row r="12" spans="1:11" x14ac:dyDescent="0.3">
      <c r="A12">
        <v>8</v>
      </c>
      <c r="B12" s="14">
        <f t="shared" si="3"/>
        <v>36861</v>
      </c>
      <c r="C12" s="15">
        <f t="shared" si="0"/>
        <v>36923</v>
      </c>
      <c r="D12" s="15">
        <f t="shared" si="1"/>
        <v>36950</v>
      </c>
      <c r="E12" s="16">
        <f t="shared" si="4"/>
        <v>28</v>
      </c>
      <c r="F12">
        <f t="shared" si="2"/>
        <v>0.9916666666666667</v>
      </c>
      <c r="H12">
        <f>2.42*Sheet3!$F$12*E12/1.1^F12</f>
        <v>25766.874861759676</v>
      </c>
      <c r="I12">
        <f>1.5%*Sheet3!$F$13*E12*2.42/1.1^F12</f>
        <v>618.16405812864036</v>
      </c>
      <c r="J12">
        <f>0*Sheet3!$F$14*E12/1.1^F12</f>
        <v>0</v>
      </c>
      <c r="K12">
        <f>0.05*Sheet3!$F$17*E12/1.1^F12</f>
        <v>5185.3895955978187</v>
      </c>
    </row>
    <row r="13" spans="1:11" x14ac:dyDescent="0.3">
      <c r="A13">
        <v>9</v>
      </c>
      <c r="B13" s="14">
        <f t="shared" si="3"/>
        <v>36892</v>
      </c>
      <c r="C13" s="15">
        <f t="shared" si="0"/>
        <v>36951</v>
      </c>
      <c r="D13" s="15">
        <f t="shared" si="1"/>
        <v>36981</v>
      </c>
      <c r="E13" s="16">
        <f t="shared" si="4"/>
        <v>31</v>
      </c>
      <c r="F13">
        <f t="shared" si="2"/>
        <v>1.0833333333333333</v>
      </c>
      <c r="H13">
        <f>2.42*Sheet3!$F$12*E13/1.1^F13</f>
        <v>28279.457982475633</v>
      </c>
      <c r="I13">
        <f>1.5%*Sheet3!$F$13*E13*2.42/1.1^F13</f>
        <v>678.44255859174336</v>
      </c>
      <c r="J13">
        <f>0*Sheet3!$F$14*E13/1.1^F13</f>
        <v>0</v>
      </c>
      <c r="K13">
        <f>0.05*Sheet3!$F$17*E13/1.1^F13</f>
        <v>5691.0280341797124</v>
      </c>
    </row>
    <row r="14" spans="1:11" x14ac:dyDescent="0.3">
      <c r="A14">
        <v>10</v>
      </c>
      <c r="B14" s="14">
        <f t="shared" si="3"/>
        <v>36923</v>
      </c>
      <c r="C14" s="15">
        <f t="shared" si="0"/>
        <v>36982</v>
      </c>
      <c r="D14" s="15">
        <f t="shared" si="1"/>
        <v>37011</v>
      </c>
      <c r="E14" s="16">
        <f t="shared" si="4"/>
        <v>30</v>
      </c>
      <c r="F14">
        <f t="shared" si="2"/>
        <v>1.163888888888889</v>
      </c>
      <c r="H14">
        <f>2.42*Sheet3!$F$12*E14/1.1^F14</f>
        <v>27157.902914484621</v>
      </c>
      <c r="I14">
        <f>1.5%*Sheet3!$F$13*E14*2.42/1.1^F14</f>
        <v>651.53572429524161</v>
      </c>
      <c r="J14">
        <f>0*Sheet3!$F$14*E14/1.1^F14</f>
        <v>0</v>
      </c>
      <c r="K14">
        <f>0.05*Sheet3!$F$17*E14/1.1^F14</f>
        <v>5465.3235196954356</v>
      </c>
    </row>
    <row r="15" spans="1:11" x14ac:dyDescent="0.3">
      <c r="A15">
        <v>11</v>
      </c>
      <c r="B15" s="14">
        <f t="shared" si="3"/>
        <v>36951</v>
      </c>
      <c r="C15" s="15">
        <f t="shared" si="0"/>
        <v>37012</v>
      </c>
      <c r="D15" s="15">
        <f t="shared" si="1"/>
        <v>37042</v>
      </c>
      <c r="E15" s="16">
        <f t="shared" si="4"/>
        <v>31</v>
      </c>
      <c r="F15">
        <f t="shared" si="2"/>
        <v>1.25</v>
      </c>
      <c r="H15">
        <f>2.42*Sheet3!$F$12*E15/1.1^F15</f>
        <v>27833.787064368345</v>
      </c>
      <c r="I15">
        <f>1.5%*Sheet3!$F$13*E15*2.42/1.1^F15</f>
        <v>667.75062389631864</v>
      </c>
      <c r="J15">
        <f>0*Sheet3!$F$14*E15/1.1^F15</f>
        <v>0</v>
      </c>
      <c r="K15">
        <f>0.05*Sheet3!$F$17*E15/1.1^F15</f>
        <v>5601.3401168745468</v>
      </c>
    </row>
    <row r="16" spans="1:11" x14ac:dyDescent="0.3">
      <c r="A16">
        <v>12</v>
      </c>
      <c r="B16" s="14">
        <f t="shared" si="3"/>
        <v>36982</v>
      </c>
      <c r="C16" s="15">
        <f t="shared" si="0"/>
        <v>37043</v>
      </c>
      <c r="D16" s="15">
        <f t="shared" si="1"/>
        <v>37072</v>
      </c>
      <c r="E16" s="16">
        <f t="shared" si="4"/>
        <v>30</v>
      </c>
      <c r="F16">
        <f t="shared" si="2"/>
        <v>1.3305555555555555</v>
      </c>
      <c r="H16">
        <f>2.42*Sheet3!$F$12*E16/1.1^F16</f>
        <v>26729.907175200398</v>
      </c>
      <c r="I16">
        <f>1.5%*Sheet3!$F$13*E16*2.42/1.1^F16</f>
        <v>641.26782861611321</v>
      </c>
      <c r="J16">
        <f>0*Sheet3!$F$14*E16/1.1^F16</f>
        <v>0</v>
      </c>
      <c r="K16">
        <f>0.05*Sheet3!$F$17*E16/1.1^F16</f>
        <v>5379.192599071519</v>
      </c>
    </row>
    <row r="17" spans="1:11" x14ac:dyDescent="0.3">
      <c r="A17">
        <v>13</v>
      </c>
      <c r="B17" s="14">
        <f t="shared" si="3"/>
        <v>37012</v>
      </c>
      <c r="C17" s="15">
        <f t="shared" si="0"/>
        <v>37073</v>
      </c>
      <c r="D17" s="15">
        <f t="shared" si="1"/>
        <v>37103</v>
      </c>
      <c r="E17" s="16">
        <f t="shared" si="4"/>
        <v>31</v>
      </c>
      <c r="F17">
        <f t="shared" si="2"/>
        <v>1.4166666666666667</v>
      </c>
      <c r="H17">
        <f>2.42*Sheet3!$F$12*E17/1.1^F17</f>
        <v>27395.139709703108</v>
      </c>
      <c r="I17">
        <f>1.5%*Sheet3!$F$13*E17*2.42/1.1^F17</f>
        <v>657.22718904820374</v>
      </c>
      <c r="J17">
        <f>0*Sheet3!$F$14*E17/1.1^F17</f>
        <v>0</v>
      </c>
      <c r="K17">
        <f>0.05*Sheet3!$F$17*E17/1.1^F17</f>
        <v>5513.0656388394445</v>
      </c>
    </row>
    <row r="18" spans="1:11" x14ac:dyDescent="0.3">
      <c r="A18">
        <v>14</v>
      </c>
      <c r="B18" s="14">
        <f t="shared" si="3"/>
        <v>37043</v>
      </c>
      <c r="C18" s="15">
        <f t="shared" si="0"/>
        <v>37104</v>
      </c>
      <c r="D18" s="15">
        <f t="shared" si="1"/>
        <v>37134</v>
      </c>
      <c r="E18" s="16">
        <f t="shared" si="4"/>
        <v>31</v>
      </c>
      <c r="F18">
        <f t="shared" si="2"/>
        <v>1.5</v>
      </c>
      <c r="H18">
        <f>2.42*Sheet3!$F$12*E18/1.1^F18</f>
        <v>27178.415210182062</v>
      </c>
      <c r="I18">
        <f>1.5%*Sheet3!$F$13*E18*2.42/1.1^F18</f>
        <v>652.02782758746821</v>
      </c>
      <c r="J18">
        <f>0*Sheet3!$F$14*E18/1.1^F18</f>
        <v>0</v>
      </c>
      <c r="K18">
        <f>0.05*Sheet3!$F$17*E18/1.1^F18</f>
        <v>5469.4514647901342</v>
      </c>
    </row>
    <row r="19" spans="1:11" x14ac:dyDescent="0.3">
      <c r="A19">
        <v>15</v>
      </c>
      <c r="B19" s="14">
        <f t="shared" si="3"/>
        <v>37073</v>
      </c>
      <c r="C19" s="15">
        <f t="shared" si="0"/>
        <v>37135</v>
      </c>
      <c r="D19" s="15">
        <f t="shared" si="1"/>
        <v>37164</v>
      </c>
      <c r="E19" s="16">
        <f t="shared" si="4"/>
        <v>30</v>
      </c>
      <c r="F19">
        <f t="shared" si="2"/>
        <v>1.5805555555555555</v>
      </c>
      <c r="H19">
        <f>2.42*Sheet3!$F$12*E19/1.1^F19</f>
        <v>26100.527177892585</v>
      </c>
      <c r="I19">
        <f>1.5%*Sheet3!$F$13*E19*2.42/1.1^F19</f>
        <v>626.16859383005112</v>
      </c>
      <c r="J19">
        <f>0*Sheet3!$F$14*E19/1.1^F19</f>
        <v>0</v>
      </c>
      <c r="K19">
        <f>0.05*Sheet3!$F$17*E19/1.1^F19</f>
        <v>5252.5346125199267</v>
      </c>
    </row>
    <row r="20" spans="1:11" x14ac:dyDescent="0.3">
      <c r="A20">
        <v>16</v>
      </c>
      <c r="B20" s="14">
        <f t="shared" si="3"/>
        <v>37104</v>
      </c>
      <c r="C20" s="15">
        <f t="shared" si="0"/>
        <v>37165</v>
      </c>
      <c r="D20" s="15">
        <f t="shared" si="1"/>
        <v>37195</v>
      </c>
      <c r="E20" s="16">
        <f t="shared" si="4"/>
        <v>31</v>
      </c>
      <c r="F20">
        <f t="shared" si="2"/>
        <v>1.6666666666666667</v>
      </c>
      <c r="H20">
        <f>2.42*Sheet3!$F$12*E20/1.1^F20</f>
        <v>26750.096206793496</v>
      </c>
      <c r="I20">
        <f>1.5%*Sheet3!$F$13*E20*2.42/1.1^F20</f>
        <v>641.75217659258431</v>
      </c>
      <c r="J20">
        <f>0*Sheet3!$F$14*E20/1.1^F20</f>
        <v>0</v>
      </c>
      <c r="K20">
        <f>0.05*Sheet3!$F$17*E20/1.1^F20</f>
        <v>5383.2554896987176</v>
      </c>
    </row>
    <row r="21" spans="1:11" x14ac:dyDescent="0.3">
      <c r="A21">
        <v>17</v>
      </c>
      <c r="B21" s="14">
        <f t="shared" si="3"/>
        <v>37135</v>
      </c>
      <c r="C21" s="15">
        <f t="shared" si="0"/>
        <v>37196</v>
      </c>
      <c r="D21" s="15">
        <f t="shared" si="1"/>
        <v>37225</v>
      </c>
      <c r="E21" s="16">
        <f t="shared" si="4"/>
        <v>30</v>
      </c>
      <c r="F21">
        <f t="shared" si="2"/>
        <v>1.7472222222222222</v>
      </c>
      <c r="H21">
        <f>2.42*Sheet3!$F$12*E21/1.1^F21</f>
        <v>25689.195181442581</v>
      </c>
      <c r="I21">
        <f>1.5%*Sheet3!$F$13*E21*2.42/1.1^F21</f>
        <v>616.30047216113076</v>
      </c>
      <c r="J21">
        <f>0*Sheet3!$F$14*E21/1.1^F21</f>
        <v>0</v>
      </c>
      <c r="K21">
        <f>0.05*Sheet3!$F$17*E21/1.1^F21</f>
        <v>5169.7571446984894</v>
      </c>
    </row>
    <row r="22" spans="1:11" x14ac:dyDescent="0.3">
      <c r="A22">
        <v>18</v>
      </c>
      <c r="B22" s="14">
        <f t="shared" si="3"/>
        <v>37165</v>
      </c>
      <c r="C22" s="15">
        <f t="shared" si="0"/>
        <v>37226</v>
      </c>
      <c r="D22" s="15">
        <f t="shared" si="1"/>
        <v>37256</v>
      </c>
      <c r="E22" s="16">
        <f t="shared" si="4"/>
        <v>31</v>
      </c>
      <c r="F22">
        <f t="shared" si="2"/>
        <v>1.8333333333333333</v>
      </c>
      <c r="H22">
        <f>2.42*Sheet3!$F$12*E22/1.1^F22</f>
        <v>26328.527308856072</v>
      </c>
      <c r="I22">
        <f>1.5%*Sheet3!$F$13*E22*2.42/1.1^F22</f>
        <v>631.63846501025466</v>
      </c>
      <c r="J22">
        <f>0*Sheet3!$F$14*E22/1.1^F22</f>
        <v>0</v>
      </c>
      <c r="K22">
        <f>0.05*Sheet3!$F$17*E22/1.1^F22</f>
        <v>5298.4179225152575</v>
      </c>
    </row>
    <row r="23" spans="1:11" x14ac:dyDescent="0.3">
      <c r="A23">
        <v>19</v>
      </c>
      <c r="B23" s="14">
        <f t="shared" si="3"/>
        <v>37196</v>
      </c>
      <c r="C23" s="15">
        <f t="shared" si="0"/>
        <v>37257</v>
      </c>
      <c r="D23" s="15">
        <f t="shared" si="1"/>
        <v>37287</v>
      </c>
      <c r="E23" s="16">
        <f t="shared" si="4"/>
        <v>31</v>
      </c>
      <c r="F23">
        <f t="shared" si="2"/>
        <v>1.9166666666666667</v>
      </c>
      <c r="H23">
        <f>2.42*Sheet3!$F$12*E23/1.1^F23</f>
        <v>26120.24084035827</v>
      </c>
      <c r="I23">
        <f>1.5%*Sheet3!$F$13*E23*2.42/1.1^F23</f>
        <v>626.64153739250276</v>
      </c>
      <c r="J23">
        <f>0*Sheet3!$F$14*E23/1.1^F23</f>
        <v>0</v>
      </c>
      <c r="K23">
        <f>0.05*Sheet3!$F$17*E23/1.1^F23</f>
        <v>5256.5018386887623</v>
      </c>
    </row>
    <row r="24" spans="1:11" x14ac:dyDescent="0.3">
      <c r="A24">
        <v>20</v>
      </c>
      <c r="B24" s="14">
        <f t="shared" si="3"/>
        <v>37226</v>
      </c>
      <c r="C24" s="15">
        <f t="shared" si="0"/>
        <v>37288</v>
      </c>
      <c r="D24" s="15">
        <f t="shared" si="1"/>
        <v>37315</v>
      </c>
      <c r="E24" s="16">
        <f t="shared" si="4"/>
        <v>28</v>
      </c>
      <c r="F24">
        <f t="shared" si="2"/>
        <v>1.9916666666666667</v>
      </c>
      <c r="H24">
        <f>2.42*Sheet3!$F$12*E24/1.1^F24</f>
        <v>23424.431692508795</v>
      </c>
      <c r="I24">
        <f>1.5%*Sheet3!$F$13*E24*2.42/1.1^F24</f>
        <v>561.9673255714913</v>
      </c>
      <c r="J24">
        <f>0*Sheet3!$F$14*E24/1.1^F24</f>
        <v>0</v>
      </c>
      <c r="K24">
        <f>0.05*Sheet3!$F$17*E24/1.1^F24</f>
        <v>4713.9905414525629</v>
      </c>
    </row>
    <row r="25" spans="1:11" x14ac:dyDescent="0.3">
      <c r="A25">
        <v>21</v>
      </c>
      <c r="B25" s="14">
        <f t="shared" si="3"/>
        <v>37257</v>
      </c>
      <c r="C25" s="15">
        <f t="shared" si="0"/>
        <v>37316</v>
      </c>
      <c r="D25" s="15">
        <f t="shared" si="1"/>
        <v>37346</v>
      </c>
      <c r="E25" s="16">
        <f t="shared" si="4"/>
        <v>31</v>
      </c>
      <c r="F25">
        <f t="shared" si="2"/>
        <v>2.0833333333333335</v>
      </c>
      <c r="H25">
        <f>2.42*Sheet3!$F$12*E25/1.1^F25</f>
        <v>25708.598165886939</v>
      </c>
      <c r="I25">
        <f>1.5%*Sheet3!$F$13*E25*2.42/1.1^F25</f>
        <v>616.76596235613033</v>
      </c>
      <c r="J25">
        <f>0*Sheet3!$F$14*E25/1.1^F25</f>
        <v>0</v>
      </c>
      <c r="K25">
        <f>0.05*Sheet3!$F$17*E25/1.1^F25</f>
        <v>5173.6618492542839</v>
      </c>
    </row>
    <row r="26" spans="1:11" x14ac:dyDescent="0.3">
      <c r="A26">
        <v>22</v>
      </c>
      <c r="B26" s="14">
        <f t="shared" si="3"/>
        <v>37288</v>
      </c>
      <c r="C26" s="15">
        <f t="shared" si="0"/>
        <v>37347</v>
      </c>
      <c r="D26" s="15">
        <f t="shared" si="1"/>
        <v>37376</v>
      </c>
      <c r="E26" s="16">
        <f t="shared" si="4"/>
        <v>30</v>
      </c>
      <c r="F26">
        <f t="shared" si="2"/>
        <v>2.1638888888888888</v>
      </c>
      <c r="H26">
        <f>2.42*Sheet3!$F$12*E26/1.1^F26</f>
        <v>24689.002649531471</v>
      </c>
      <c r="I26">
        <f>1.5%*Sheet3!$F$13*E26*2.42/1.1^F26</f>
        <v>592.30520390476499</v>
      </c>
      <c r="J26">
        <f>0*Sheet3!$F$14*E26/1.1^F26</f>
        <v>0</v>
      </c>
      <c r="K26">
        <f>0.05*Sheet3!$F$17*E26/1.1^F26</f>
        <v>4968.4759269958495</v>
      </c>
    </row>
    <row r="27" spans="1:11" x14ac:dyDescent="0.3">
      <c r="A27">
        <v>23</v>
      </c>
      <c r="B27" s="14">
        <f t="shared" si="3"/>
        <v>37316</v>
      </c>
      <c r="C27" s="15">
        <f t="shared" si="0"/>
        <v>37377</v>
      </c>
      <c r="D27" s="15">
        <f t="shared" si="1"/>
        <v>37407</v>
      </c>
      <c r="E27" s="16">
        <f t="shared" si="4"/>
        <v>31</v>
      </c>
      <c r="F27">
        <f t="shared" si="2"/>
        <v>2.25</v>
      </c>
      <c r="H27">
        <f>2.42*Sheet3!$F$12*E27/1.1^F27</f>
        <v>25303.442785789404</v>
      </c>
      <c r="I27">
        <f>1.5%*Sheet3!$F$13*E27*2.42/1.1^F27</f>
        <v>607.04602172392595</v>
      </c>
      <c r="J27">
        <f>0*Sheet3!$F$14*E27/1.1^F27</f>
        <v>0</v>
      </c>
      <c r="K27">
        <f>0.05*Sheet3!$F$17*E27/1.1^F27</f>
        <v>5092.1273789768602</v>
      </c>
    </row>
    <row r="28" spans="1:11" x14ac:dyDescent="0.3">
      <c r="A28">
        <v>24</v>
      </c>
      <c r="B28" s="14">
        <f t="shared" si="3"/>
        <v>37347</v>
      </c>
      <c r="C28" s="15">
        <f t="shared" si="0"/>
        <v>37408</v>
      </c>
      <c r="D28" s="15">
        <f t="shared" si="1"/>
        <v>37437</v>
      </c>
      <c r="E28" s="16">
        <f t="shared" si="4"/>
        <v>30</v>
      </c>
      <c r="F28">
        <f t="shared" si="2"/>
        <v>2.3305555555555557</v>
      </c>
      <c r="H28">
        <f>2.42*Sheet3!$F$12*E28/1.1^F28</f>
        <v>24299.915613818539</v>
      </c>
      <c r="I28">
        <f>1.5%*Sheet3!$F$13*E28*2.42/1.1^F28</f>
        <v>582.9707532873756</v>
      </c>
      <c r="J28">
        <f>0*Sheet3!$F$14*E28/1.1^F28</f>
        <v>0</v>
      </c>
      <c r="K28">
        <f>0.05*Sheet3!$F$17*E28/1.1^F28</f>
        <v>4890.1750900650168</v>
      </c>
    </row>
    <row r="29" spans="1:11" x14ac:dyDescent="0.3">
      <c r="A29">
        <v>25</v>
      </c>
      <c r="B29" s="14">
        <f t="shared" si="3"/>
        <v>37377</v>
      </c>
      <c r="C29" s="15">
        <f t="shared" si="0"/>
        <v>37438</v>
      </c>
      <c r="D29" s="15">
        <f t="shared" si="1"/>
        <v>37468</v>
      </c>
      <c r="E29" s="16">
        <f t="shared" si="4"/>
        <v>31</v>
      </c>
      <c r="F29">
        <f t="shared" si="2"/>
        <v>2.4166666666666665</v>
      </c>
      <c r="H29">
        <f>2.42*Sheet3!$F$12*E29/1.1^F29</f>
        <v>24904.67246336646</v>
      </c>
      <c r="I29">
        <f>1.5%*Sheet3!$F$13*E29*2.42/1.1^F29</f>
        <v>597.47926277109423</v>
      </c>
      <c r="J29">
        <f>0*Sheet3!$F$14*E29/1.1^F29</f>
        <v>0</v>
      </c>
      <c r="K29">
        <f>0.05*Sheet3!$F$17*E29/1.1^F29</f>
        <v>5011.877853490404</v>
      </c>
    </row>
    <row r="30" spans="1:11" x14ac:dyDescent="0.3">
      <c r="A30">
        <v>26</v>
      </c>
      <c r="B30" s="14">
        <f t="shared" si="3"/>
        <v>37408</v>
      </c>
      <c r="C30" s="15">
        <f t="shared" si="0"/>
        <v>37469</v>
      </c>
      <c r="D30" s="15">
        <f t="shared" si="1"/>
        <v>37499</v>
      </c>
      <c r="E30" s="16">
        <f t="shared" si="4"/>
        <v>31</v>
      </c>
      <c r="F30">
        <f t="shared" si="2"/>
        <v>2.5</v>
      </c>
      <c r="H30">
        <f>2.42*Sheet3!$F$12*E30/1.1^F30</f>
        <v>24707.650191074601</v>
      </c>
      <c r="I30">
        <f>1.5%*Sheet3!$F$13*E30*2.42/1.1^F30</f>
        <v>592.75257053406199</v>
      </c>
      <c r="J30">
        <f>0*Sheet3!$F$14*E30/1.1^F30</f>
        <v>0</v>
      </c>
      <c r="K30">
        <f>0.05*Sheet3!$F$17*E30/1.1^F30</f>
        <v>4972.2286043546683</v>
      </c>
    </row>
    <row r="31" spans="1:11" x14ac:dyDescent="0.3">
      <c r="A31">
        <v>27</v>
      </c>
      <c r="B31" s="14">
        <f t="shared" si="3"/>
        <v>37438</v>
      </c>
      <c r="C31" s="15">
        <f t="shared" si="0"/>
        <v>37500</v>
      </c>
      <c r="D31" s="15">
        <f t="shared" si="1"/>
        <v>37529</v>
      </c>
      <c r="E31" s="16">
        <f t="shared" si="4"/>
        <v>30</v>
      </c>
      <c r="F31">
        <f t="shared" si="2"/>
        <v>2.5805555555555557</v>
      </c>
      <c r="H31">
        <f>2.42*Sheet3!$F$12*E31/1.1^F31</f>
        <v>23727.751979902347</v>
      </c>
      <c r="I31">
        <f>1.5%*Sheet3!$F$13*E31*2.42/1.1^F31</f>
        <v>569.24417620913732</v>
      </c>
      <c r="J31">
        <f>0*Sheet3!$F$14*E31/1.1^F31</f>
        <v>0</v>
      </c>
      <c r="K31">
        <f>0.05*Sheet3!$F$17*E31/1.1^F31</f>
        <v>4775.0314659272053</v>
      </c>
    </row>
    <row r="32" spans="1:11" x14ac:dyDescent="0.3">
      <c r="A32">
        <v>28</v>
      </c>
      <c r="B32" s="14">
        <f t="shared" si="3"/>
        <v>37469</v>
      </c>
      <c r="C32" s="15">
        <f t="shared" si="0"/>
        <v>37530</v>
      </c>
      <c r="D32" s="15">
        <f t="shared" si="1"/>
        <v>37560</v>
      </c>
      <c r="E32" s="16">
        <f t="shared" si="4"/>
        <v>31</v>
      </c>
      <c r="F32">
        <f t="shared" si="2"/>
        <v>2.6666666666666665</v>
      </c>
      <c r="H32">
        <f>2.42*Sheet3!$F$12*E32/1.1^F32</f>
        <v>24318.269278903175</v>
      </c>
      <c r="I32">
        <f>1.5%*Sheet3!$F$13*E32*2.42/1.1^F32</f>
        <v>583.41106962962192</v>
      </c>
      <c r="J32">
        <f>0*Sheet3!$F$14*E32/1.1^F32</f>
        <v>0</v>
      </c>
      <c r="K32">
        <f>0.05*Sheet3!$F$17*E32/1.1^F32</f>
        <v>4893.8686269988339</v>
      </c>
    </row>
    <row r="33" spans="1:11" x14ac:dyDescent="0.3">
      <c r="A33">
        <v>29</v>
      </c>
      <c r="B33" s="14">
        <f t="shared" si="3"/>
        <v>37500</v>
      </c>
      <c r="C33" s="15">
        <f t="shared" si="0"/>
        <v>37561</v>
      </c>
      <c r="D33" s="15">
        <f t="shared" si="1"/>
        <v>37590</v>
      </c>
      <c r="E33" s="16">
        <f t="shared" si="4"/>
        <v>30</v>
      </c>
      <c r="F33">
        <f t="shared" si="2"/>
        <v>2.7472222222222222</v>
      </c>
      <c r="H33">
        <f>2.42*Sheet3!$F$12*E33/1.1^F33</f>
        <v>23353.81380131144</v>
      </c>
      <c r="I33">
        <f>1.5%*Sheet3!$F$13*E33*2.42/1.1^F33</f>
        <v>560.27315651011895</v>
      </c>
      <c r="J33">
        <f>0*Sheet3!$F$14*E33/1.1^F33</f>
        <v>0</v>
      </c>
      <c r="K33">
        <f>0.05*Sheet3!$F$17*E33/1.1^F33</f>
        <v>4699.7792224531722</v>
      </c>
    </row>
    <row r="34" spans="1:11" x14ac:dyDescent="0.3">
      <c r="A34">
        <v>30</v>
      </c>
      <c r="B34" s="14">
        <f t="shared" si="3"/>
        <v>37530</v>
      </c>
      <c r="C34" s="15">
        <f t="shared" si="0"/>
        <v>37591</v>
      </c>
      <c r="D34" s="15">
        <f t="shared" si="1"/>
        <v>37621</v>
      </c>
      <c r="E34" s="16">
        <f t="shared" si="4"/>
        <v>31</v>
      </c>
      <c r="F34">
        <f t="shared" si="2"/>
        <v>2.8333333333333335</v>
      </c>
      <c r="H34">
        <f>2.42*Sheet3!$F$12*E34/1.1^F34</f>
        <v>23935.024826232791</v>
      </c>
      <c r="I34">
        <f>1.5%*Sheet3!$F$13*E34*2.42/1.1^F34</f>
        <v>574.21678637295884</v>
      </c>
      <c r="J34">
        <f>0*Sheet3!$F$14*E34/1.1^F34</f>
        <v>0</v>
      </c>
      <c r="K34">
        <f>0.05*Sheet3!$F$17*E34/1.1^F34</f>
        <v>4816.7435659229614</v>
      </c>
    </row>
    <row r="35" spans="1:11" x14ac:dyDescent="0.3">
      <c r="A35">
        <v>31</v>
      </c>
      <c r="B35" s="14">
        <f t="shared" si="3"/>
        <v>37561</v>
      </c>
      <c r="C35" s="15">
        <f t="shared" si="0"/>
        <v>37622</v>
      </c>
      <c r="D35" s="15">
        <f t="shared" si="1"/>
        <v>37652</v>
      </c>
      <c r="E35" s="16">
        <f t="shared" si="4"/>
        <v>31</v>
      </c>
      <c r="F35">
        <f t="shared" si="2"/>
        <v>2.9166666666666665</v>
      </c>
      <c r="H35">
        <f>2.42*Sheet3!$F$12*E35/1.1^F35</f>
        <v>23745.673491234789</v>
      </c>
      <c r="I35">
        <f>1.5%*Sheet3!$F$13*E35*2.42/1.1^F35</f>
        <v>569.67412490227514</v>
      </c>
      <c r="J35">
        <f>0*Sheet3!$F$14*E35/1.1^F35</f>
        <v>0</v>
      </c>
      <c r="K35">
        <f>0.05*Sheet3!$F$17*E35/1.1^F35</f>
        <v>4778.6380351716016</v>
      </c>
    </row>
    <row r="36" spans="1:11" x14ac:dyDescent="0.3">
      <c r="A36">
        <v>32</v>
      </c>
      <c r="B36" s="14">
        <f t="shared" si="3"/>
        <v>37591</v>
      </c>
      <c r="C36" s="15">
        <f t="shared" si="0"/>
        <v>37653</v>
      </c>
      <c r="D36" s="15">
        <f t="shared" si="1"/>
        <v>37680</v>
      </c>
      <c r="E36" s="16">
        <f t="shared" si="4"/>
        <v>28</v>
      </c>
      <c r="F36">
        <f t="shared" si="2"/>
        <v>2.9916666666666667</v>
      </c>
      <c r="H36">
        <f>2.42*Sheet3!$F$12*E36/1.1^F36</f>
        <v>21294.937902280719</v>
      </c>
      <c r="I36">
        <f>1.5%*Sheet3!$F$13*E36*2.42/1.1^F36</f>
        <v>510.87938688317377</v>
      </c>
      <c r="J36">
        <f>0*Sheet3!$F$14*E36/1.1^F36</f>
        <v>0</v>
      </c>
      <c r="K36">
        <f>0.05*Sheet3!$F$17*E36/1.1^F36</f>
        <v>4285.4459467750557</v>
      </c>
    </row>
    <row r="37" spans="1:11" x14ac:dyDescent="0.3">
      <c r="A37">
        <v>33</v>
      </c>
      <c r="B37" s="14">
        <f t="shared" si="3"/>
        <v>37622</v>
      </c>
      <c r="C37" s="15">
        <f t="shared" ref="C37:C68" si="5">EOMONTH(B37,1)+1</f>
        <v>37681</v>
      </c>
      <c r="D37" s="15">
        <f t="shared" ref="D37:D68" si="6">EOMONTH(C37,0)</f>
        <v>37711</v>
      </c>
      <c r="E37" s="16">
        <f t="shared" si="4"/>
        <v>31</v>
      </c>
      <c r="F37">
        <f t="shared" ref="F37:F68" si="7">YEARFRAC($C$4,D37)</f>
        <v>3.0833333333333335</v>
      </c>
      <c r="H37">
        <f>2.42*Sheet3!$F$12*E37/1.1^F37</f>
        <v>23371.452878079035</v>
      </c>
      <c r="I37">
        <f>1.5%*Sheet3!$F$13*E37*2.42/1.1^F37</f>
        <v>560.69632941466398</v>
      </c>
      <c r="J37">
        <f>0*Sheet3!$F$14*E37/1.1^F37</f>
        <v>0</v>
      </c>
      <c r="K37">
        <f>0.05*Sheet3!$F$17*E37/1.1^F37</f>
        <v>4703.3289538675308</v>
      </c>
    </row>
    <row r="38" spans="1:11" x14ac:dyDescent="0.3">
      <c r="A38">
        <v>34</v>
      </c>
      <c r="B38" s="14">
        <f t="shared" ref="B38:B69" si="8">EOMONTH(B37,0)+1</f>
        <v>37653</v>
      </c>
      <c r="C38" s="15">
        <f t="shared" si="5"/>
        <v>37712</v>
      </c>
      <c r="D38" s="15">
        <f t="shared" si="6"/>
        <v>37741</v>
      </c>
      <c r="E38" s="16">
        <f t="shared" si="4"/>
        <v>30</v>
      </c>
      <c r="F38">
        <f t="shared" si="7"/>
        <v>3.1638888888888888</v>
      </c>
      <c r="H38">
        <f>2.42*Sheet3!$F$12*E38/1.1^F38</f>
        <v>22444.547863210428</v>
      </c>
      <c r="I38">
        <f>1.5%*Sheet3!$F$13*E38*2.42/1.1^F38</f>
        <v>538.45927627705908</v>
      </c>
      <c r="J38">
        <f>0*Sheet3!$F$14*E38/1.1^F38</f>
        <v>0</v>
      </c>
      <c r="K38">
        <f>0.05*Sheet3!$F$17*E38/1.1^F38</f>
        <v>4516.7962972689538</v>
      </c>
    </row>
    <row r="39" spans="1:11" x14ac:dyDescent="0.3">
      <c r="A39">
        <v>35</v>
      </c>
      <c r="B39" s="14">
        <f t="shared" si="8"/>
        <v>37681</v>
      </c>
      <c r="C39" s="15">
        <f t="shared" si="5"/>
        <v>37742</v>
      </c>
      <c r="D39" s="15">
        <f t="shared" si="6"/>
        <v>37772</v>
      </c>
      <c r="E39" s="16">
        <f t="shared" si="4"/>
        <v>31</v>
      </c>
      <c r="F39">
        <f t="shared" si="7"/>
        <v>3.25</v>
      </c>
      <c r="H39">
        <f>2.42*Sheet3!$F$12*E39/1.1^F39</f>
        <v>23003.129805263092</v>
      </c>
      <c r="I39">
        <f>1.5%*Sheet3!$F$13*E39*2.42/1.1^F39</f>
        <v>551.86001974902354</v>
      </c>
      <c r="J39">
        <f>0*Sheet3!$F$14*E39/1.1^F39</f>
        <v>0</v>
      </c>
      <c r="K39">
        <f>0.05*Sheet3!$F$17*E39/1.1^F39</f>
        <v>4629.206708160782</v>
      </c>
    </row>
    <row r="40" spans="1:11" x14ac:dyDescent="0.3">
      <c r="A40">
        <v>36</v>
      </c>
      <c r="B40" s="14">
        <f t="shared" si="8"/>
        <v>37712</v>
      </c>
      <c r="C40" s="15">
        <f t="shared" si="5"/>
        <v>37773</v>
      </c>
      <c r="D40" s="15">
        <f t="shared" si="6"/>
        <v>37802</v>
      </c>
      <c r="E40" s="16">
        <f t="shared" si="4"/>
        <v>30</v>
      </c>
      <c r="F40">
        <f t="shared" si="7"/>
        <v>3.3305555555555557</v>
      </c>
      <c r="H40">
        <f>2.42*Sheet3!$F$12*E40/1.1^F40</f>
        <v>22090.832376198668</v>
      </c>
      <c r="I40">
        <f>1.5%*Sheet3!$F$13*E40*2.42/1.1^F40</f>
        <v>529.97341207943225</v>
      </c>
      <c r="J40">
        <f>0*Sheet3!$F$14*E40/1.1^F40</f>
        <v>0</v>
      </c>
      <c r="K40">
        <f>0.05*Sheet3!$F$17*E40/1.1^F40</f>
        <v>4445.6137182409238</v>
      </c>
    </row>
    <row r="41" spans="1:11" x14ac:dyDescent="0.3">
      <c r="A41">
        <v>37</v>
      </c>
      <c r="B41" s="14">
        <f t="shared" si="8"/>
        <v>37742</v>
      </c>
      <c r="C41" s="15">
        <f t="shared" si="5"/>
        <v>37803</v>
      </c>
      <c r="D41" s="15">
        <f t="shared" si="6"/>
        <v>37833</v>
      </c>
      <c r="E41" s="16">
        <f t="shared" si="4"/>
        <v>31</v>
      </c>
      <c r="F41">
        <f t="shared" si="7"/>
        <v>3.4166666666666665</v>
      </c>
      <c r="H41">
        <f>2.42*Sheet3!$F$12*E41/1.1^F41</f>
        <v>22640.611330333144</v>
      </c>
      <c r="I41">
        <f>1.5%*Sheet3!$F$13*E41*2.42/1.1^F41</f>
        <v>543.16296615554018</v>
      </c>
      <c r="J41">
        <f>0*Sheet3!$F$14*E41/1.1^F41</f>
        <v>0</v>
      </c>
      <c r="K41">
        <f>0.05*Sheet3!$F$17*E41/1.1^F41</f>
        <v>4556.2525940821852</v>
      </c>
    </row>
    <row r="42" spans="1:11" x14ac:dyDescent="0.3">
      <c r="A42">
        <v>38</v>
      </c>
      <c r="B42" s="14">
        <f t="shared" si="8"/>
        <v>37773</v>
      </c>
      <c r="C42" s="15">
        <f t="shared" si="5"/>
        <v>37834</v>
      </c>
      <c r="D42" s="15">
        <f t="shared" si="6"/>
        <v>37864</v>
      </c>
      <c r="E42" s="16">
        <f t="shared" si="4"/>
        <v>31</v>
      </c>
      <c r="F42">
        <f t="shared" si="7"/>
        <v>3.5</v>
      </c>
      <c r="H42">
        <f>2.42*Sheet3!$F$12*E42/1.1^F42</f>
        <v>22461.500173704182</v>
      </c>
      <c r="I42">
        <f>1.5%*Sheet3!$F$13*E42*2.42/1.1^F42</f>
        <v>538.86597321278362</v>
      </c>
      <c r="J42">
        <f>0*Sheet3!$F$14*E42/1.1^F42</f>
        <v>0</v>
      </c>
      <c r="K42">
        <f>0.05*Sheet3!$F$17*E42/1.1^F42</f>
        <v>4520.2078221406073</v>
      </c>
    </row>
    <row r="43" spans="1:11" x14ac:dyDescent="0.3">
      <c r="A43">
        <v>39</v>
      </c>
      <c r="B43" s="14">
        <f t="shared" si="8"/>
        <v>37803</v>
      </c>
      <c r="C43" s="15">
        <f t="shared" si="5"/>
        <v>37865</v>
      </c>
      <c r="D43" s="15">
        <f t="shared" si="6"/>
        <v>37894</v>
      </c>
      <c r="E43" s="16">
        <f t="shared" si="4"/>
        <v>30</v>
      </c>
      <c r="F43">
        <f t="shared" si="7"/>
        <v>3.5805555555555557</v>
      </c>
      <c r="H43">
        <f>2.42*Sheet3!$F$12*E43/1.1^F43</f>
        <v>21570.68361809304</v>
      </c>
      <c r="I43">
        <f>1.5%*Sheet3!$F$13*E43*2.42/1.1^F43</f>
        <v>517.49470564467026</v>
      </c>
      <c r="J43">
        <f>0*Sheet3!$F$14*E43/1.1^F43</f>
        <v>0</v>
      </c>
      <c r="K43">
        <f>0.05*Sheet3!$F$17*E43/1.1^F43</f>
        <v>4340.9376962974593</v>
      </c>
    </row>
    <row r="44" spans="1:11" x14ac:dyDescent="0.3">
      <c r="A44">
        <v>40</v>
      </c>
      <c r="B44" s="14">
        <f t="shared" si="8"/>
        <v>37834</v>
      </c>
      <c r="C44" s="15">
        <f t="shared" si="5"/>
        <v>37895</v>
      </c>
      <c r="D44" s="15">
        <f t="shared" si="6"/>
        <v>37925</v>
      </c>
      <c r="E44" s="16">
        <f t="shared" si="4"/>
        <v>31</v>
      </c>
      <c r="F44">
        <f t="shared" si="7"/>
        <v>3.6666666666666665</v>
      </c>
      <c r="H44">
        <f>2.42*Sheet3!$F$12*E44/1.1^F44</f>
        <v>22107.517526275613</v>
      </c>
      <c r="I44">
        <f>1.5%*Sheet3!$F$13*E44*2.42/1.1^F44</f>
        <v>530.37369966329265</v>
      </c>
      <c r="J44">
        <f>0*Sheet3!$F$14*E44/1.1^F44</f>
        <v>0</v>
      </c>
      <c r="K44">
        <f>0.05*Sheet3!$F$17*E44/1.1^F44</f>
        <v>4448.9714790898479</v>
      </c>
    </row>
    <row r="45" spans="1:11" x14ac:dyDescent="0.3">
      <c r="A45">
        <v>41</v>
      </c>
      <c r="B45" s="14">
        <f t="shared" si="8"/>
        <v>37865</v>
      </c>
      <c r="C45" s="15">
        <f t="shared" si="5"/>
        <v>37926</v>
      </c>
      <c r="D45" s="15">
        <f t="shared" si="6"/>
        <v>37955</v>
      </c>
      <c r="E45" s="16">
        <f t="shared" si="4"/>
        <v>30</v>
      </c>
      <c r="F45">
        <f t="shared" si="7"/>
        <v>3.7472222222222222</v>
      </c>
      <c r="H45">
        <f>2.42*Sheet3!$F$12*E45/1.1^F45</f>
        <v>21230.739819374034</v>
      </c>
      <c r="I45">
        <f>1.5%*Sheet3!$F$13*E45*2.42/1.1^F45</f>
        <v>509.33923319101712</v>
      </c>
      <c r="J45">
        <f>0*Sheet3!$F$14*E45/1.1^F45</f>
        <v>0</v>
      </c>
      <c r="K45">
        <f>0.05*Sheet3!$F$17*E45/1.1^F45</f>
        <v>4272.5265658665194</v>
      </c>
    </row>
    <row r="46" spans="1:11" x14ac:dyDescent="0.3">
      <c r="A46">
        <v>42</v>
      </c>
      <c r="B46" s="14">
        <f t="shared" si="8"/>
        <v>37895</v>
      </c>
      <c r="C46" s="15">
        <f t="shared" si="5"/>
        <v>37956</v>
      </c>
      <c r="D46" s="15">
        <f t="shared" si="6"/>
        <v>37986</v>
      </c>
      <c r="E46" s="16">
        <f t="shared" si="4"/>
        <v>31</v>
      </c>
      <c r="F46">
        <f t="shared" si="7"/>
        <v>3.8333333333333335</v>
      </c>
      <c r="H46">
        <f>2.42*Sheet3!$F$12*E46/1.1^F46</f>
        <v>21759.113478393447</v>
      </c>
      <c r="I46">
        <f>1.5%*Sheet3!$F$13*E46*2.42/1.1^F46</f>
        <v>522.01526033905338</v>
      </c>
      <c r="J46">
        <f>0*Sheet3!$F$14*E46/1.1^F46</f>
        <v>0</v>
      </c>
      <c r="K46">
        <f>0.05*Sheet3!$F$17*E46/1.1^F46</f>
        <v>4378.8577872026917</v>
      </c>
    </row>
    <row r="47" spans="1:11" x14ac:dyDescent="0.3">
      <c r="A47">
        <v>43</v>
      </c>
      <c r="B47" s="14">
        <f t="shared" si="8"/>
        <v>37926</v>
      </c>
      <c r="C47" s="15">
        <f t="shared" si="5"/>
        <v>37987</v>
      </c>
      <c r="D47" s="15">
        <f t="shared" si="6"/>
        <v>38017</v>
      </c>
      <c r="E47" s="16">
        <f t="shared" si="4"/>
        <v>31</v>
      </c>
      <c r="F47">
        <f t="shared" si="7"/>
        <v>3.9166666666666665</v>
      </c>
      <c r="H47">
        <f>2.42*Sheet3!$F$12*E47/1.1^F47</f>
        <v>21586.975901122532</v>
      </c>
      <c r="I47">
        <f>1.5%*Sheet3!$F$13*E47*2.42/1.1^F47</f>
        <v>517.88556809297734</v>
      </c>
      <c r="J47">
        <f>0*Sheet3!$F$14*E47/1.1^F47</f>
        <v>0</v>
      </c>
      <c r="K47">
        <f>0.05*Sheet3!$F$17*E47/1.1^F47</f>
        <v>4344.216395610546</v>
      </c>
    </row>
    <row r="48" spans="1:11" x14ac:dyDescent="0.3">
      <c r="A48">
        <v>44</v>
      </c>
      <c r="B48" s="14">
        <f t="shared" si="8"/>
        <v>37956</v>
      </c>
      <c r="C48" s="15">
        <f t="shared" si="5"/>
        <v>38018</v>
      </c>
      <c r="D48" s="15">
        <f t="shared" si="6"/>
        <v>38046</v>
      </c>
      <c r="E48" s="16">
        <f t="shared" si="4"/>
        <v>29</v>
      </c>
      <c r="F48">
        <f t="shared" si="7"/>
        <v>3.9944444444444445</v>
      </c>
      <c r="H48">
        <f>2.42*Sheet3!$F$12*E48/1.1^F48</f>
        <v>20045.12088601739</v>
      </c>
      <c r="I48">
        <f>1.5%*Sheet3!$F$13*E48*2.42/1.1^F48</f>
        <v>480.8954651683149</v>
      </c>
      <c r="J48">
        <f>0*Sheet3!$F$14*E48/1.1^F48</f>
        <v>0</v>
      </c>
      <c r="K48">
        <f>0.05*Sheet3!$F$17*E48/1.1^F48</f>
        <v>4033.929680743468</v>
      </c>
    </row>
    <row r="49" spans="1:11" x14ac:dyDescent="0.3">
      <c r="A49">
        <v>45</v>
      </c>
      <c r="B49" s="14">
        <f t="shared" si="8"/>
        <v>37987</v>
      </c>
      <c r="C49" s="15">
        <f t="shared" si="5"/>
        <v>38047</v>
      </c>
      <c r="D49" s="15">
        <f t="shared" si="6"/>
        <v>38077</v>
      </c>
      <c r="E49" s="16">
        <f t="shared" si="4"/>
        <v>31</v>
      </c>
      <c r="F49">
        <f t="shared" si="7"/>
        <v>4.083333333333333</v>
      </c>
      <c r="H49">
        <f>2.42*Sheet3!$F$12*E49/1.1^F49</f>
        <v>21246.77534370821</v>
      </c>
      <c r="I49">
        <f>1.5%*Sheet3!$F$13*E49*2.42/1.1^F49</f>
        <v>509.72393583151262</v>
      </c>
      <c r="J49">
        <f>0*Sheet3!$F$14*E49/1.1^F49</f>
        <v>0</v>
      </c>
      <c r="K49">
        <f>0.05*Sheet3!$F$17*E49/1.1^F49</f>
        <v>4275.7535944250276</v>
      </c>
    </row>
    <row r="50" spans="1:11" x14ac:dyDescent="0.3">
      <c r="A50">
        <v>46</v>
      </c>
      <c r="B50" s="14">
        <f t="shared" si="8"/>
        <v>38018</v>
      </c>
      <c r="C50" s="15">
        <f t="shared" si="5"/>
        <v>38078</v>
      </c>
      <c r="D50" s="15">
        <f t="shared" si="6"/>
        <v>38107</v>
      </c>
      <c r="E50" s="16">
        <f t="shared" si="4"/>
        <v>30</v>
      </c>
      <c r="F50">
        <f t="shared" si="7"/>
        <v>4.1638888888888888</v>
      </c>
      <c r="H50">
        <f>2.42*Sheet3!$F$12*E50/1.1^F50</f>
        <v>20404.134421100389</v>
      </c>
      <c r="I50">
        <f>1.5%*Sheet3!$F$13*E50*2.42/1.1^F50</f>
        <v>489.50843297914457</v>
      </c>
      <c r="J50">
        <f>0*Sheet3!$F$14*E50/1.1^F50</f>
        <v>0</v>
      </c>
      <c r="K50">
        <f>0.05*Sheet3!$F$17*E50/1.1^F50</f>
        <v>4106.1784520626852</v>
      </c>
    </row>
    <row r="51" spans="1:11" x14ac:dyDescent="0.3">
      <c r="A51">
        <v>47</v>
      </c>
      <c r="B51" s="14">
        <f t="shared" si="8"/>
        <v>38047</v>
      </c>
      <c r="C51" s="15">
        <f t="shared" si="5"/>
        <v>38108</v>
      </c>
      <c r="D51" s="15">
        <f t="shared" si="6"/>
        <v>38138</v>
      </c>
      <c r="E51" s="16">
        <f t="shared" si="4"/>
        <v>31</v>
      </c>
      <c r="F51">
        <f t="shared" si="7"/>
        <v>4.25</v>
      </c>
      <c r="H51">
        <f>2.42*Sheet3!$F$12*E51/1.1^F51</f>
        <v>20911.936186602812</v>
      </c>
      <c r="I51">
        <f>1.5%*Sheet3!$F$13*E51*2.42/1.1^F51</f>
        <v>501.69092704456688</v>
      </c>
      <c r="J51">
        <f>0*Sheet3!$F$14*E51/1.1^F51</f>
        <v>0</v>
      </c>
      <c r="K51">
        <f>0.05*Sheet3!$F$17*E51/1.1^F51</f>
        <v>4208.3697346916197</v>
      </c>
    </row>
    <row r="52" spans="1:11" x14ac:dyDescent="0.3">
      <c r="A52">
        <v>48</v>
      </c>
      <c r="B52" s="14">
        <f t="shared" si="8"/>
        <v>38078</v>
      </c>
      <c r="C52" s="15">
        <f t="shared" si="5"/>
        <v>38139</v>
      </c>
      <c r="D52" s="15">
        <f t="shared" si="6"/>
        <v>38168</v>
      </c>
      <c r="E52" s="16">
        <f t="shared" si="4"/>
        <v>30</v>
      </c>
      <c r="F52">
        <f t="shared" si="7"/>
        <v>4.3305555555555557</v>
      </c>
      <c r="H52">
        <f>2.42*Sheet3!$F$12*E52/1.1^F52</f>
        <v>20082.574887453335</v>
      </c>
      <c r="I52">
        <f>1.5%*Sheet3!$F$13*E52*2.42/1.1^F52</f>
        <v>481.79401098130205</v>
      </c>
      <c r="J52">
        <f>0*Sheet3!$F$14*E52/1.1^F52</f>
        <v>0</v>
      </c>
      <c r="K52">
        <f>0.05*Sheet3!$F$17*E52/1.1^F52</f>
        <v>4041.4670165826574</v>
      </c>
    </row>
    <row r="53" spans="1:11" x14ac:dyDescent="0.3">
      <c r="A53">
        <v>49</v>
      </c>
      <c r="B53" s="14">
        <f t="shared" si="8"/>
        <v>38108</v>
      </c>
      <c r="C53" s="15">
        <f t="shared" si="5"/>
        <v>38169</v>
      </c>
      <c r="D53" s="15">
        <f t="shared" si="6"/>
        <v>38199</v>
      </c>
      <c r="E53" s="16">
        <f t="shared" si="4"/>
        <v>31</v>
      </c>
      <c r="F53">
        <f t="shared" si="7"/>
        <v>4.416666666666667</v>
      </c>
      <c r="H53">
        <f>2.42*Sheet3!$F$12*E53/1.1^F53</f>
        <v>20582.373936666492</v>
      </c>
      <c r="I53">
        <f>1.5%*Sheet3!$F$13*E53*2.42/1.1^F53</f>
        <v>493.78451468685466</v>
      </c>
      <c r="J53">
        <f>0*Sheet3!$F$14*E53/1.1^F53</f>
        <v>0</v>
      </c>
      <c r="K53">
        <f>0.05*Sheet3!$F$17*E53/1.1^F53</f>
        <v>4142.0478128019859</v>
      </c>
    </row>
    <row r="54" spans="1:11" x14ac:dyDescent="0.3">
      <c r="A54">
        <v>50</v>
      </c>
      <c r="B54" s="14">
        <f t="shared" si="8"/>
        <v>38139</v>
      </c>
      <c r="C54" s="15">
        <f t="shared" si="5"/>
        <v>38200</v>
      </c>
      <c r="D54" s="15">
        <f t="shared" si="6"/>
        <v>38230</v>
      </c>
      <c r="E54" s="16">
        <f t="shared" si="4"/>
        <v>31</v>
      </c>
      <c r="F54">
        <f t="shared" si="7"/>
        <v>4.5</v>
      </c>
      <c r="H54">
        <f>2.42*Sheet3!$F$12*E54/1.1^F54</f>
        <v>20419.545612458343</v>
      </c>
      <c r="I54">
        <f>1.5%*Sheet3!$F$13*E54*2.42/1.1^F54</f>
        <v>489.87815746616684</v>
      </c>
      <c r="J54">
        <f>0*Sheet3!$F$14*E54/1.1^F54</f>
        <v>0</v>
      </c>
      <c r="K54">
        <f>0.05*Sheet3!$F$17*E54/1.1^F54</f>
        <v>4109.2798383096424</v>
      </c>
    </row>
    <row r="55" spans="1:11" x14ac:dyDescent="0.3">
      <c r="A55">
        <v>51</v>
      </c>
      <c r="B55" s="14">
        <f t="shared" si="8"/>
        <v>38169</v>
      </c>
      <c r="C55" s="15">
        <f t="shared" si="5"/>
        <v>38231</v>
      </c>
      <c r="D55" s="15">
        <f t="shared" si="6"/>
        <v>38260</v>
      </c>
      <c r="E55" s="16">
        <f t="shared" si="4"/>
        <v>30</v>
      </c>
      <c r="F55">
        <f t="shared" si="7"/>
        <v>4.5805555555555557</v>
      </c>
      <c r="H55">
        <f>2.42*Sheet3!$F$12*E55/1.1^F55</f>
        <v>19609.71238008458</v>
      </c>
      <c r="I55">
        <f>1.5%*Sheet3!$F$13*E55*2.42/1.1^F55</f>
        <v>470.44973240424559</v>
      </c>
      <c r="J55">
        <f>0*Sheet3!$F$14*E55/1.1^F55</f>
        <v>0</v>
      </c>
      <c r="K55">
        <f>0.05*Sheet3!$F$17*E55/1.1^F55</f>
        <v>3946.3069966340531</v>
      </c>
    </row>
    <row r="56" spans="1:11" x14ac:dyDescent="0.3">
      <c r="A56">
        <v>52</v>
      </c>
      <c r="B56" s="14">
        <f t="shared" si="8"/>
        <v>38200</v>
      </c>
      <c r="C56" s="15">
        <f t="shared" si="5"/>
        <v>38261</v>
      </c>
      <c r="D56" s="15">
        <f t="shared" si="6"/>
        <v>38291</v>
      </c>
      <c r="E56" s="16">
        <f t="shared" si="4"/>
        <v>31</v>
      </c>
      <c r="F56">
        <f t="shared" si="7"/>
        <v>4.666666666666667</v>
      </c>
      <c r="H56">
        <f>2.42*Sheet3!$F$12*E56/1.1^F56</f>
        <v>20097.743205705101</v>
      </c>
      <c r="I56">
        <f>1.5%*Sheet3!$F$13*E56*2.42/1.1^F56</f>
        <v>482.15790878481147</v>
      </c>
      <c r="J56">
        <f>0*Sheet3!$F$14*E56/1.1^F56</f>
        <v>0</v>
      </c>
      <c r="K56">
        <f>0.05*Sheet3!$F$17*E56/1.1^F56</f>
        <v>4044.5195264453164</v>
      </c>
    </row>
    <row r="57" spans="1:11" x14ac:dyDescent="0.3">
      <c r="A57">
        <v>53</v>
      </c>
      <c r="B57" s="14">
        <f t="shared" si="8"/>
        <v>38231</v>
      </c>
      <c r="C57" s="15">
        <f t="shared" si="5"/>
        <v>38292</v>
      </c>
      <c r="D57" s="15">
        <f t="shared" si="6"/>
        <v>38321</v>
      </c>
      <c r="E57" s="16">
        <f t="shared" si="4"/>
        <v>30</v>
      </c>
      <c r="F57">
        <f t="shared" si="7"/>
        <v>4.7472222222222218</v>
      </c>
      <c r="H57">
        <f>2.42*Sheet3!$F$12*E57/1.1^F57</f>
        <v>19300.672563067303</v>
      </c>
      <c r="I57">
        <f>1.5%*Sheet3!$F$13*E57*2.42/1.1^F57</f>
        <v>463.03566653728831</v>
      </c>
      <c r="J57">
        <f>0*Sheet3!$F$14*E57/1.1^F57</f>
        <v>0</v>
      </c>
      <c r="K57">
        <f>0.05*Sheet3!$F$17*E57/1.1^F57</f>
        <v>3884.1150598786539</v>
      </c>
    </row>
    <row r="58" spans="1:11" x14ac:dyDescent="0.3">
      <c r="A58">
        <v>54</v>
      </c>
      <c r="B58" s="14">
        <f t="shared" si="8"/>
        <v>38261</v>
      </c>
      <c r="C58" s="15">
        <f t="shared" si="5"/>
        <v>38322</v>
      </c>
      <c r="D58" s="15">
        <f t="shared" si="6"/>
        <v>38352</v>
      </c>
      <c r="E58" s="16">
        <f t="shared" si="4"/>
        <v>31</v>
      </c>
      <c r="F58">
        <f t="shared" si="7"/>
        <v>4.833333333333333</v>
      </c>
      <c r="H58">
        <f>2.42*Sheet3!$F$12*E58/1.1^F58</f>
        <v>19781.012253084951</v>
      </c>
      <c r="I58">
        <f>1.5%*Sheet3!$F$13*E58*2.42/1.1^F58</f>
        <v>474.55932758095759</v>
      </c>
      <c r="J58">
        <f>0*Sheet3!$F$14*E58/1.1^F58</f>
        <v>0</v>
      </c>
      <c r="K58">
        <f>0.05*Sheet3!$F$17*E58/1.1^F58</f>
        <v>3980.779806547901</v>
      </c>
    </row>
    <row r="59" spans="1:11" x14ac:dyDescent="0.3">
      <c r="A59">
        <v>55</v>
      </c>
      <c r="B59" s="14">
        <f t="shared" si="8"/>
        <v>38292</v>
      </c>
      <c r="C59" s="15">
        <f t="shared" si="5"/>
        <v>38353</v>
      </c>
      <c r="D59" s="15">
        <f t="shared" si="6"/>
        <v>38383</v>
      </c>
      <c r="E59" s="16">
        <f t="shared" si="4"/>
        <v>31</v>
      </c>
      <c r="F59">
        <f t="shared" si="7"/>
        <v>4.916666666666667</v>
      </c>
      <c r="H59">
        <f>2.42*Sheet3!$F$12*E59/1.1^F59</f>
        <v>19624.523546475026</v>
      </c>
      <c r="I59">
        <f>1.5%*Sheet3!$F$13*E59*2.42/1.1^F59</f>
        <v>470.80506190270665</v>
      </c>
      <c r="J59">
        <f>0*Sheet3!$F$14*E59/1.1^F59</f>
        <v>0</v>
      </c>
      <c r="K59">
        <f>0.05*Sheet3!$F$17*E59/1.1^F59</f>
        <v>3949.2876323732239</v>
      </c>
    </row>
    <row r="60" spans="1:11" x14ac:dyDescent="0.3">
      <c r="A60">
        <v>56</v>
      </c>
      <c r="B60" s="14">
        <f t="shared" si="8"/>
        <v>38322</v>
      </c>
      <c r="C60" s="15">
        <f t="shared" si="5"/>
        <v>38384</v>
      </c>
      <c r="D60" s="15">
        <f t="shared" si="6"/>
        <v>38411</v>
      </c>
      <c r="E60" s="16">
        <f t="shared" si="4"/>
        <v>28</v>
      </c>
      <c r="F60">
        <f t="shared" si="7"/>
        <v>4.9916666666666663</v>
      </c>
      <c r="H60">
        <f>2.42*Sheet3!$F$12*E60/1.1^F60</f>
        <v>17599.122233289851</v>
      </c>
      <c r="I60">
        <f>1.5%*Sheet3!$F$13*E60*2.42/1.1^F60</f>
        <v>422.21436932493697</v>
      </c>
      <c r="J60">
        <f>0*Sheet3!$F$14*E60/1.1^F60</f>
        <v>0</v>
      </c>
      <c r="K60">
        <f>0.05*Sheet3!$F$17*E60/1.1^F60</f>
        <v>3541.6908651033518</v>
      </c>
    </row>
    <row r="61" spans="1:11" x14ac:dyDescent="0.3">
      <c r="A61">
        <v>57</v>
      </c>
      <c r="B61" s="14">
        <f t="shared" si="8"/>
        <v>38353</v>
      </c>
      <c r="C61" s="15">
        <f t="shared" si="5"/>
        <v>38412</v>
      </c>
      <c r="D61" s="15">
        <f t="shared" si="6"/>
        <v>38442</v>
      </c>
      <c r="E61" s="16">
        <f t="shared" si="4"/>
        <v>31</v>
      </c>
      <c r="F61">
        <f t="shared" si="7"/>
        <v>5.083333333333333</v>
      </c>
      <c r="H61">
        <f>2.42*Sheet3!$F$12*E61/1.1^F61</f>
        <v>19315.250312462009</v>
      </c>
      <c r="I61">
        <f>1.5%*Sheet3!$F$13*E61*2.42/1.1^F61</f>
        <v>463.38539621046601</v>
      </c>
      <c r="J61">
        <f>0*Sheet3!$F$14*E61/1.1^F61</f>
        <v>0</v>
      </c>
      <c r="K61">
        <f>0.05*Sheet3!$F$17*E61/1.1^F61</f>
        <v>3887.0487222045704</v>
      </c>
    </row>
    <row r="62" spans="1:11" x14ac:dyDescent="0.3">
      <c r="A62">
        <v>58</v>
      </c>
      <c r="B62" s="14">
        <f t="shared" si="8"/>
        <v>38384</v>
      </c>
      <c r="C62" s="15">
        <f t="shared" si="5"/>
        <v>38443</v>
      </c>
      <c r="D62" s="15">
        <f t="shared" si="6"/>
        <v>38472</v>
      </c>
      <c r="E62" s="16">
        <f t="shared" si="4"/>
        <v>30</v>
      </c>
      <c r="F62">
        <f t="shared" si="7"/>
        <v>5.1638888888888888</v>
      </c>
      <c r="H62">
        <f>2.42*Sheet3!$F$12*E62/1.1^F62</f>
        <v>18549.213110091259</v>
      </c>
      <c r="I62">
        <f>1.5%*Sheet3!$F$13*E62*2.42/1.1^F62</f>
        <v>445.00766634467681</v>
      </c>
      <c r="J62">
        <f>0*Sheet3!$F$14*E62/1.1^F62</f>
        <v>0</v>
      </c>
      <c r="K62">
        <f>0.05*Sheet3!$F$17*E62/1.1^F62</f>
        <v>3732.8895018751682</v>
      </c>
    </row>
    <row r="63" spans="1:11" x14ac:dyDescent="0.3">
      <c r="A63">
        <v>59</v>
      </c>
      <c r="B63" s="14">
        <f t="shared" si="8"/>
        <v>38412</v>
      </c>
      <c r="C63" s="15">
        <f t="shared" si="5"/>
        <v>38473</v>
      </c>
      <c r="D63" s="15">
        <f t="shared" si="6"/>
        <v>38503</v>
      </c>
      <c r="E63" s="16">
        <f t="shared" si="4"/>
        <v>31</v>
      </c>
      <c r="F63">
        <f t="shared" si="7"/>
        <v>5.25</v>
      </c>
      <c r="H63">
        <f>2.42*Sheet3!$F$12*E63/1.1^F63</f>
        <v>19010.851078729829</v>
      </c>
      <c r="I63">
        <f>1.5%*Sheet3!$F$13*E63*2.42/1.1^F63</f>
        <v>456.08266094960624</v>
      </c>
      <c r="J63">
        <f>0*Sheet3!$F$14*E63/1.1^F63</f>
        <v>0</v>
      </c>
      <c r="K63">
        <f>0.05*Sheet3!$F$17*E63/1.1^F63</f>
        <v>3825.7906679014723</v>
      </c>
    </row>
    <row r="64" spans="1:11" x14ac:dyDescent="0.3">
      <c r="A64">
        <v>60</v>
      </c>
      <c r="B64" s="14">
        <f t="shared" si="8"/>
        <v>38443</v>
      </c>
      <c r="C64" s="15">
        <f t="shared" si="5"/>
        <v>38504</v>
      </c>
      <c r="D64" s="15">
        <f t="shared" si="6"/>
        <v>38533</v>
      </c>
      <c r="E64" s="16">
        <f t="shared" si="4"/>
        <v>30</v>
      </c>
      <c r="F64">
        <f t="shared" si="7"/>
        <v>5.3305555555555557</v>
      </c>
      <c r="H64">
        <f>2.42*Sheet3!$F$12*E64/1.1^F64</f>
        <v>18256.886261321211</v>
      </c>
      <c r="I64">
        <f>1.5%*Sheet3!$F$13*E64*2.42/1.1^F64</f>
        <v>437.99455543754726</v>
      </c>
      <c r="J64">
        <f>0*Sheet3!$F$14*E64/1.1^F64</f>
        <v>0</v>
      </c>
      <c r="K64">
        <f>0.05*Sheet3!$F$17*E64/1.1^F64</f>
        <v>3674.0609241660522</v>
      </c>
    </row>
    <row r="65" spans="1:11" x14ac:dyDescent="0.3">
      <c r="A65">
        <v>61</v>
      </c>
      <c r="B65" s="14">
        <f t="shared" si="8"/>
        <v>38473</v>
      </c>
      <c r="C65" s="15">
        <f t="shared" si="5"/>
        <v>38534</v>
      </c>
      <c r="D65" s="15">
        <f t="shared" si="6"/>
        <v>38564</v>
      </c>
      <c r="E65" s="16">
        <f t="shared" si="4"/>
        <v>31</v>
      </c>
      <c r="F65">
        <f t="shared" si="7"/>
        <v>5.416666666666667</v>
      </c>
      <c r="H65">
        <f>2.42*Sheet3!$F$12*E65/1.1^F65</f>
        <v>18711.249033333173</v>
      </c>
      <c r="I65">
        <f>1.5%*Sheet3!$F$13*E65*2.42/1.1^F65</f>
        <v>448.89501335168603</v>
      </c>
      <c r="J65">
        <f>0*Sheet3!$F$14*E65/1.1^F65</f>
        <v>0</v>
      </c>
      <c r="K65">
        <f>0.05*Sheet3!$F$17*E65/1.1^F65</f>
        <v>3765.4980116381689</v>
      </c>
    </row>
    <row r="66" spans="1:11" x14ac:dyDescent="0.3">
      <c r="A66">
        <v>62</v>
      </c>
      <c r="B66" s="14">
        <f t="shared" si="8"/>
        <v>38504</v>
      </c>
      <c r="C66" s="15">
        <f t="shared" si="5"/>
        <v>38565</v>
      </c>
      <c r="D66" s="15">
        <f t="shared" si="6"/>
        <v>38595</v>
      </c>
      <c r="E66" s="16">
        <f t="shared" si="4"/>
        <v>31</v>
      </c>
      <c r="F66">
        <f t="shared" si="7"/>
        <v>5.5</v>
      </c>
      <c r="H66">
        <f>2.42*Sheet3!$F$12*E66/1.1^F66</f>
        <v>18563.223284053041</v>
      </c>
      <c r="I66">
        <f>1.5%*Sheet3!$F$13*E66*2.42/1.1^F66</f>
        <v>445.34377951469713</v>
      </c>
      <c r="J66">
        <f>0*Sheet3!$F$14*E66/1.1^F66</f>
        <v>0</v>
      </c>
      <c r="K66">
        <f>0.05*Sheet3!$F$17*E66/1.1^F66</f>
        <v>3735.7089439178567</v>
      </c>
    </row>
    <row r="67" spans="1:11" x14ac:dyDescent="0.3">
      <c r="A67">
        <v>63</v>
      </c>
      <c r="B67" s="14">
        <f t="shared" si="8"/>
        <v>38534</v>
      </c>
      <c r="C67" s="15">
        <f t="shared" si="5"/>
        <v>38596</v>
      </c>
      <c r="D67" s="15">
        <f t="shared" si="6"/>
        <v>38625</v>
      </c>
      <c r="E67" s="16">
        <f t="shared" si="4"/>
        <v>30</v>
      </c>
      <c r="F67">
        <f t="shared" si="7"/>
        <v>5.5805555555555557</v>
      </c>
      <c r="H67">
        <f>2.42*Sheet3!$F$12*E67/1.1^F67</f>
        <v>17827.011254622346</v>
      </c>
      <c r="I67">
        <f>1.5%*Sheet3!$F$13*E67*2.42/1.1^F67</f>
        <v>427.68157491295057</v>
      </c>
      <c r="J67">
        <f>0*Sheet3!$F$14*E67/1.1^F67</f>
        <v>0</v>
      </c>
      <c r="K67">
        <f>0.05*Sheet3!$F$17*E67/1.1^F67</f>
        <v>3587.5518151218666</v>
      </c>
    </row>
    <row r="68" spans="1:11" x14ac:dyDescent="0.3">
      <c r="A68">
        <v>64</v>
      </c>
      <c r="B68" s="14">
        <f t="shared" si="8"/>
        <v>38565</v>
      </c>
      <c r="C68" s="15">
        <f t="shared" si="5"/>
        <v>38626</v>
      </c>
      <c r="D68" s="15">
        <f t="shared" si="6"/>
        <v>38656</v>
      </c>
      <c r="E68" s="16">
        <f t="shared" si="4"/>
        <v>31</v>
      </c>
      <c r="F68">
        <f t="shared" si="7"/>
        <v>5.666666666666667</v>
      </c>
      <c r="H68">
        <f>2.42*Sheet3!$F$12*E68/1.1^F68</f>
        <v>18270.675641550089</v>
      </c>
      <c r="I68">
        <f>1.5%*Sheet3!$F$13*E68*2.42/1.1^F68</f>
        <v>438.32537162255585</v>
      </c>
      <c r="J68">
        <f>0*Sheet3!$F$14*E68/1.1^F68</f>
        <v>0</v>
      </c>
      <c r="K68">
        <f>0.05*Sheet3!$F$17*E68/1.1^F68</f>
        <v>3676.8359331321058</v>
      </c>
    </row>
    <row r="69" spans="1:11" x14ac:dyDescent="0.3">
      <c r="A69">
        <v>65</v>
      </c>
      <c r="B69" s="14">
        <f t="shared" si="8"/>
        <v>38596</v>
      </c>
      <c r="C69" s="15">
        <f t="shared" ref="C69:C100" si="9">EOMONTH(B69,1)+1</f>
        <v>38657</v>
      </c>
      <c r="D69" s="15">
        <f t="shared" ref="D69:D100" si="10">EOMONTH(C69,0)</f>
        <v>38686</v>
      </c>
      <c r="E69" s="16">
        <f t="shared" si="4"/>
        <v>30</v>
      </c>
      <c r="F69">
        <f t="shared" ref="F69:F100" si="11">YEARFRAC($C$4,D69)</f>
        <v>5.7472222222222218</v>
      </c>
      <c r="H69">
        <f>2.42*Sheet3!$F$12*E69/1.1^F69</f>
        <v>17546.06596642482</v>
      </c>
      <c r="I69">
        <f>1.5%*Sheet3!$F$13*E69*2.42/1.1^F69</f>
        <v>420.94151503389838</v>
      </c>
      <c r="J69">
        <f>0*Sheet3!$F$14*E69/1.1^F69</f>
        <v>0</v>
      </c>
      <c r="K69">
        <f>0.05*Sheet3!$F$17*E69/1.1^F69</f>
        <v>3531.0136907987762</v>
      </c>
    </row>
    <row r="70" spans="1:11" x14ac:dyDescent="0.3">
      <c r="A70">
        <v>66</v>
      </c>
      <c r="B70" s="14">
        <f t="shared" ref="B70:B101" si="12">EOMONTH(B69,0)+1</f>
        <v>38626</v>
      </c>
      <c r="C70" s="15">
        <f t="shared" si="9"/>
        <v>38687</v>
      </c>
      <c r="D70" s="15">
        <f t="shared" si="10"/>
        <v>38717</v>
      </c>
      <c r="E70" s="16">
        <f t="shared" ref="E70:E124" si="13">D70-C70+1</f>
        <v>31</v>
      </c>
      <c r="F70">
        <f t="shared" si="11"/>
        <v>5.833333333333333</v>
      </c>
      <c r="H70">
        <f>2.42*Sheet3!$F$12*E70/1.1^F70</f>
        <v>17982.738411895407</v>
      </c>
      <c r="I70">
        <f>1.5%*Sheet3!$F$13*E70*2.42/1.1^F70</f>
        <v>431.41757052814324</v>
      </c>
      <c r="J70">
        <f>0*Sheet3!$F$14*E70/1.1^F70</f>
        <v>0</v>
      </c>
      <c r="K70">
        <f>0.05*Sheet3!$F$17*E70/1.1^F70</f>
        <v>3618.8907332253643</v>
      </c>
    </row>
    <row r="71" spans="1:11" x14ac:dyDescent="0.3">
      <c r="A71">
        <v>67</v>
      </c>
      <c r="B71" s="14">
        <f t="shared" si="12"/>
        <v>38657</v>
      </c>
      <c r="C71" s="15">
        <f t="shared" si="9"/>
        <v>38718</v>
      </c>
      <c r="D71" s="15">
        <f t="shared" si="10"/>
        <v>38748</v>
      </c>
      <c r="E71" s="16">
        <f t="shared" si="13"/>
        <v>31</v>
      </c>
      <c r="F71">
        <f t="shared" si="11"/>
        <v>5.916666666666667</v>
      </c>
      <c r="H71">
        <f>2.42*Sheet3!$F$12*E71/1.1^F71</f>
        <v>17840.475951340934</v>
      </c>
      <c r="I71">
        <f>1.5%*Sheet3!$F$13*E71*2.42/1.1^F71</f>
        <v>428.00460172973328</v>
      </c>
      <c r="J71">
        <f>0*Sheet3!$F$14*E71/1.1^F71</f>
        <v>0</v>
      </c>
      <c r="K71">
        <f>0.05*Sheet3!$F$17*E71/1.1^F71</f>
        <v>3590.2614839756575</v>
      </c>
    </row>
    <row r="72" spans="1:11" x14ac:dyDescent="0.3">
      <c r="A72">
        <v>68</v>
      </c>
      <c r="B72" s="14">
        <f t="shared" si="12"/>
        <v>38687</v>
      </c>
      <c r="C72" s="15">
        <f t="shared" si="9"/>
        <v>38749</v>
      </c>
      <c r="D72" s="15">
        <f t="shared" si="10"/>
        <v>38776</v>
      </c>
      <c r="E72" s="16">
        <f t="shared" si="13"/>
        <v>28</v>
      </c>
      <c r="F72">
        <f t="shared" si="11"/>
        <v>5.9916666666666663</v>
      </c>
      <c r="H72">
        <f>2.42*Sheet3!$F$12*E72/1.1^F72</f>
        <v>15999.202030263499</v>
      </c>
      <c r="I72">
        <f>1.5%*Sheet3!$F$13*E72*2.42/1.1^F72</f>
        <v>383.83124484085175</v>
      </c>
      <c r="J72">
        <f>0*Sheet3!$F$14*E72/1.1^F72</f>
        <v>0</v>
      </c>
      <c r="K72">
        <f>0.05*Sheet3!$F$17*E72/1.1^F72</f>
        <v>3219.7189682757744</v>
      </c>
    </row>
    <row r="73" spans="1:11" x14ac:dyDescent="0.3">
      <c r="A73">
        <v>69</v>
      </c>
      <c r="B73" s="14">
        <f t="shared" si="12"/>
        <v>38718</v>
      </c>
      <c r="C73" s="15">
        <f t="shared" si="9"/>
        <v>38777</v>
      </c>
      <c r="D73" s="15">
        <f t="shared" si="10"/>
        <v>38807</v>
      </c>
      <c r="E73" s="16">
        <f t="shared" si="13"/>
        <v>31</v>
      </c>
      <c r="F73">
        <f t="shared" si="11"/>
        <v>6.083333333333333</v>
      </c>
      <c r="H73">
        <f>2.42*Sheet3!$F$12*E73/1.1^F73</f>
        <v>17559.318465874552</v>
      </c>
      <c r="I73">
        <f>1.5%*Sheet3!$F$13*E73*2.42/1.1^F73</f>
        <v>421.25945110042358</v>
      </c>
      <c r="J73">
        <f>0*Sheet3!$F$14*E73/1.1^F73</f>
        <v>0</v>
      </c>
      <c r="K73">
        <f>0.05*Sheet3!$F$17*E73/1.1^F73</f>
        <v>3533.680656549609</v>
      </c>
    </row>
    <row r="74" spans="1:11" x14ac:dyDescent="0.3">
      <c r="A74">
        <v>70</v>
      </c>
      <c r="B74" s="14">
        <f t="shared" si="12"/>
        <v>38749</v>
      </c>
      <c r="C74" s="15">
        <f t="shared" si="9"/>
        <v>38808</v>
      </c>
      <c r="D74" s="15">
        <f t="shared" si="10"/>
        <v>38837</v>
      </c>
      <c r="E74" s="16">
        <f t="shared" si="13"/>
        <v>30</v>
      </c>
      <c r="F74">
        <f t="shared" si="11"/>
        <v>6.1638888888888888</v>
      </c>
      <c r="H74">
        <f>2.42*Sheet3!$F$12*E74/1.1^F74</f>
        <v>16862.921009173875</v>
      </c>
      <c r="I74">
        <f>1.5%*Sheet3!$F$13*E74*2.42/1.1^F74</f>
        <v>404.55242394970622</v>
      </c>
      <c r="J74">
        <f>0*Sheet3!$F$14*E74/1.1^F74</f>
        <v>0</v>
      </c>
      <c r="K74">
        <f>0.05*Sheet3!$F$17*E74/1.1^F74</f>
        <v>3393.5359107956074</v>
      </c>
    </row>
    <row r="75" spans="1:11" x14ac:dyDescent="0.3">
      <c r="A75">
        <v>71</v>
      </c>
      <c r="B75" s="14">
        <f t="shared" si="12"/>
        <v>38777</v>
      </c>
      <c r="C75" s="15">
        <f t="shared" si="9"/>
        <v>38838</v>
      </c>
      <c r="D75" s="15">
        <f t="shared" si="10"/>
        <v>38868</v>
      </c>
      <c r="E75" s="16">
        <f t="shared" si="13"/>
        <v>31</v>
      </c>
      <c r="F75">
        <f t="shared" si="11"/>
        <v>6.25</v>
      </c>
      <c r="H75">
        <f>2.42*Sheet3!$F$12*E75/1.1^F75</f>
        <v>17282.591889754389</v>
      </c>
      <c r="I75">
        <f>1.5%*Sheet3!$F$13*E75*2.42/1.1^F75</f>
        <v>414.62060086327836</v>
      </c>
      <c r="J75">
        <f>0*Sheet3!$F$14*E75/1.1^F75</f>
        <v>0</v>
      </c>
      <c r="K75">
        <f>0.05*Sheet3!$F$17*E75/1.1^F75</f>
        <v>3477.9915162740658</v>
      </c>
    </row>
    <row r="76" spans="1:11" x14ac:dyDescent="0.3">
      <c r="A76">
        <v>72</v>
      </c>
      <c r="B76" s="14">
        <f t="shared" si="12"/>
        <v>38808</v>
      </c>
      <c r="C76" s="15">
        <f t="shared" si="9"/>
        <v>38869</v>
      </c>
      <c r="D76" s="15">
        <f t="shared" si="10"/>
        <v>38898</v>
      </c>
      <c r="E76" s="16">
        <f t="shared" si="13"/>
        <v>30</v>
      </c>
      <c r="F76">
        <f t="shared" si="11"/>
        <v>6.3305555555555557</v>
      </c>
      <c r="H76">
        <f>2.42*Sheet3!$F$12*E76/1.1^F76</f>
        <v>16597.169328473829</v>
      </c>
      <c r="I76">
        <f>1.5%*Sheet3!$F$13*E76*2.42/1.1^F76</f>
        <v>398.17686857958842</v>
      </c>
      <c r="J76">
        <f>0*Sheet3!$F$14*E76/1.1^F76</f>
        <v>0</v>
      </c>
      <c r="K76">
        <f>0.05*Sheet3!$F$17*E76/1.1^F76</f>
        <v>3340.0553856055017</v>
      </c>
    </row>
    <row r="77" spans="1:11" x14ac:dyDescent="0.3">
      <c r="A77">
        <v>73</v>
      </c>
      <c r="B77" s="14">
        <f t="shared" si="12"/>
        <v>38838</v>
      </c>
      <c r="C77" s="15">
        <f t="shared" si="9"/>
        <v>38899</v>
      </c>
      <c r="D77" s="15">
        <f t="shared" si="10"/>
        <v>38929</v>
      </c>
      <c r="E77" s="16">
        <f t="shared" si="13"/>
        <v>31</v>
      </c>
      <c r="F77">
        <f t="shared" si="11"/>
        <v>6.416666666666667</v>
      </c>
      <c r="H77">
        <f>2.42*Sheet3!$F$12*E77/1.1^F77</f>
        <v>17010.226393939247</v>
      </c>
      <c r="I77">
        <f>1.5%*Sheet3!$F$13*E77*2.42/1.1^F77</f>
        <v>408.08637577425998</v>
      </c>
      <c r="J77">
        <f>0*Sheet3!$F$14*E77/1.1^F77</f>
        <v>0</v>
      </c>
      <c r="K77">
        <f>0.05*Sheet3!$F$17*E77/1.1^F77</f>
        <v>3423.1800105801531</v>
      </c>
    </row>
    <row r="78" spans="1:11" x14ac:dyDescent="0.3">
      <c r="A78">
        <v>74</v>
      </c>
      <c r="B78" s="14">
        <f t="shared" si="12"/>
        <v>38869</v>
      </c>
      <c r="C78" s="15">
        <f t="shared" si="9"/>
        <v>38930</v>
      </c>
      <c r="D78" s="15">
        <f t="shared" si="10"/>
        <v>38960</v>
      </c>
      <c r="E78" s="16">
        <f t="shared" si="13"/>
        <v>31</v>
      </c>
      <c r="F78">
        <f t="shared" si="11"/>
        <v>6.5</v>
      </c>
      <c r="H78">
        <f>2.42*Sheet3!$F$12*E78/1.1^F78</f>
        <v>16875.657530957309</v>
      </c>
      <c r="I78">
        <f>1.5%*Sheet3!$F$13*E78*2.42/1.1^F78</f>
        <v>404.85798137699737</v>
      </c>
      <c r="J78">
        <f>0*Sheet3!$F$14*E78/1.1^F78</f>
        <v>0</v>
      </c>
      <c r="K78">
        <f>0.05*Sheet3!$F$17*E78/1.1^F78</f>
        <v>3396.0990399253237</v>
      </c>
    </row>
    <row r="79" spans="1:11" x14ac:dyDescent="0.3">
      <c r="A79">
        <v>75</v>
      </c>
      <c r="B79" s="14">
        <f t="shared" si="12"/>
        <v>38899</v>
      </c>
      <c r="C79" s="15">
        <f t="shared" si="9"/>
        <v>38961</v>
      </c>
      <c r="D79" s="15">
        <f t="shared" si="10"/>
        <v>38990</v>
      </c>
      <c r="E79" s="16">
        <f t="shared" si="13"/>
        <v>30</v>
      </c>
      <c r="F79">
        <f t="shared" si="11"/>
        <v>6.5805555555555557</v>
      </c>
      <c r="H79">
        <f>2.42*Sheet3!$F$12*E79/1.1^F79</f>
        <v>16206.373867838494</v>
      </c>
      <c r="I79">
        <f>1.5%*Sheet3!$F$13*E79*2.42/1.1^F79</f>
        <v>388.80143173904588</v>
      </c>
      <c r="J79">
        <f>0*Sheet3!$F$14*E79/1.1^F79</f>
        <v>0</v>
      </c>
      <c r="K79">
        <f>0.05*Sheet3!$F$17*E79/1.1^F79</f>
        <v>3261.4107410198781</v>
      </c>
    </row>
    <row r="80" spans="1:11" x14ac:dyDescent="0.3">
      <c r="A80">
        <v>76</v>
      </c>
      <c r="B80" s="14">
        <f t="shared" si="12"/>
        <v>38930</v>
      </c>
      <c r="C80" s="15">
        <f t="shared" si="9"/>
        <v>38991</v>
      </c>
      <c r="D80" s="15">
        <f t="shared" si="10"/>
        <v>39021</v>
      </c>
      <c r="E80" s="16">
        <f t="shared" si="13"/>
        <v>31</v>
      </c>
      <c r="F80">
        <f t="shared" si="11"/>
        <v>6.666666666666667</v>
      </c>
      <c r="H80">
        <f>2.42*Sheet3!$F$12*E80/1.1^F80</f>
        <v>16609.705128681897</v>
      </c>
      <c r="I80">
        <f>1.5%*Sheet3!$F$13*E80*2.42/1.1^F80</f>
        <v>398.47761056595982</v>
      </c>
      <c r="J80">
        <f>0*Sheet3!$F$14*E80/1.1^F80</f>
        <v>0</v>
      </c>
      <c r="K80">
        <f>0.05*Sheet3!$F$17*E80/1.1^F80</f>
        <v>3342.5781210291866</v>
      </c>
    </row>
    <row r="81" spans="1:11" x14ac:dyDescent="0.3">
      <c r="A81">
        <v>77</v>
      </c>
      <c r="B81" s="14">
        <f t="shared" si="12"/>
        <v>38961</v>
      </c>
      <c r="C81" s="15">
        <f t="shared" si="9"/>
        <v>39022</v>
      </c>
      <c r="D81" s="15">
        <f t="shared" si="10"/>
        <v>39051</v>
      </c>
      <c r="E81" s="16">
        <f t="shared" si="13"/>
        <v>30</v>
      </c>
      <c r="F81">
        <f t="shared" si="11"/>
        <v>6.7472222222222218</v>
      </c>
      <c r="H81">
        <f>2.42*Sheet3!$F$12*E81/1.1^F81</f>
        <v>15950.969060386198</v>
      </c>
      <c r="I81">
        <f>1.5%*Sheet3!$F$13*E81*2.42/1.1^F81</f>
        <v>382.6741045762713</v>
      </c>
      <c r="J81">
        <f>0*Sheet3!$F$14*E81/1.1^F81</f>
        <v>0</v>
      </c>
      <c r="K81">
        <f>0.05*Sheet3!$F$17*E81/1.1^F81</f>
        <v>3210.0124461807054</v>
      </c>
    </row>
    <row r="82" spans="1:11" x14ac:dyDescent="0.3">
      <c r="A82">
        <v>78</v>
      </c>
      <c r="B82" s="14">
        <f t="shared" si="12"/>
        <v>38991</v>
      </c>
      <c r="C82" s="15">
        <f t="shared" si="9"/>
        <v>39052</v>
      </c>
      <c r="D82" s="15">
        <f t="shared" si="10"/>
        <v>39082</v>
      </c>
      <c r="E82" s="16">
        <f t="shared" si="13"/>
        <v>31</v>
      </c>
      <c r="F82">
        <f t="shared" si="11"/>
        <v>6.833333333333333</v>
      </c>
      <c r="H82">
        <f>2.42*Sheet3!$F$12*E82/1.1^F82</f>
        <v>16347.944010814006</v>
      </c>
      <c r="I82">
        <f>1.5%*Sheet3!$F$13*E82*2.42/1.1^F82</f>
        <v>392.19779138922109</v>
      </c>
      <c r="J82">
        <f>0*Sheet3!$F$14*E82/1.1^F82</f>
        <v>0</v>
      </c>
      <c r="K82">
        <f>0.05*Sheet3!$F$17*E82/1.1^F82</f>
        <v>3289.9006665685129</v>
      </c>
    </row>
    <row r="83" spans="1:11" x14ac:dyDescent="0.3">
      <c r="A83">
        <v>79</v>
      </c>
      <c r="B83" s="14">
        <f t="shared" si="12"/>
        <v>39022</v>
      </c>
      <c r="C83" s="15">
        <f t="shared" si="9"/>
        <v>39083</v>
      </c>
      <c r="D83" s="15">
        <f t="shared" si="10"/>
        <v>39113</v>
      </c>
      <c r="E83" s="16">
        <f t="shared" si="13"/>
        <v>31</v>
      </c>
      <c r="F83">
        <f t="shared" si="11"/>
        <v>6.916666666666667</v>
      </c>
      <c r="H83">
        <f>2.42*Sheet3!$F$12*E83/1.1^F83</f>
        <v>16218.614501219028</v>
      </c>
      <c r="I83">
        <f>1.5%*Sheet3!$F$13*E83*2.42/1.1^F83</f>
        <v>389.09509248157565</v>
      </c>
      <c r="J83">
        <f>0*Sheet3!$F$14*E83/1.1^F83</f>
        <v>0</v>
      </c>
      <c r="K83">
        <f>0.05*Sheet3!$F$17*E83/1.1^F83</f>
        <v>3263.8740763415067</v>
      </c>
    </row>
    <row r="84" spans="1:11" x14ac:dyDescent="0.3">
      <c r="A84">
        <v>80</v>
      </c>
      <c r="B84" s="14">
        <f t="shared" si="12"/>
        <v>39052</v>
      </c>
      <c r="C84" s="15">
        <f t="shared" si="9"/>
        <v>39114</v>
      </c>
      <c r="D84" s="15">
        <f t="shared" si="10"/>
        <v>39141</v>
      </c>
      <c r="E84" s="16">
        <f t="shared" si="13"/>
        <v>28</v>
      </c>
      <c r="F84">
        <f t="shared" si="11"/>
        <v>6.9916666666666663</v>
      </c>
      <c r="H84">
        <f>2.42*Sheet3!$F$12*E84/1.1^F84</f>
        <v>14544.729118421361</v>
      </c>
      <c r="I84">
        <f>1.5%*Sheet3!$F$13*E84*2.42/1.1^F84</f>
        <v>348.9374953098652</v>
      </c>
      <c r="J84">
        <f>0*Sheet3!$F$14*E84/1.1^F84</f>
        <v>0</v>
      </c>
      <c r="K84">
        <f>0.05*Sheet3!$F$17*E84/1.1^F84</f>
        <v>2927.0172438870673</v>
      </c>
    </row>
    <row r="85" spans="1:11" x14ac:dyDescent="0.3">
      <c r="A85">
        <v>81</v>
      </c>
      <c r="B85" s="14">
        <f t="shared" si="12"/>
        <v>39083</v>
      </c>
      <c r="C85" s="15">
        <f t="shared" si="9"/>
        <v>39142</v>
      </c>
      <c r="D85" s="15">
        <f t="shared" si="10"/>
        <v>39172</v>
      </c>
      <c r="E85" s="16">
        <f t="shared" si="13"/>
        <v>31</v>
      </c>
      <c r="F85">
        <f t="shared" si="11"/>
        <v>7.083333333333333</v>
      </c>
      <c r="H85">
        <f>2.42*Sheet3!$F$12*E85/1.1^F85</f>
        <v>15963.016787158682</v>
      </c>
      <c r="I85">
        <f>1.5%*Sheet3!$F$13*E85*2.42/1.1^F85</f>
        <v>382.96313736402141</v>
      </c>
      <c r="J85">
        <f>0*Sheet3!$F$14*E85/1.1^F85</f>
        <v>0</v>
      </c>
      <c r="K85">
        <f>0.05*Sheet3!$F$17*E85/1.1^F85</f>
        <v>3212.4369604996446</v>
      </c>
    </row>
    <row r="86" spans="1:11" x14ac:dyDescent="0.3">
      <c r="A86">
        <v>82</v>
      </c>
      <c r="B86" s="14">
        <f t="shared" si="12"/>
        <v>39114</v>
      </c>
      <c r="C86" s="15">
        <f t="shared" si="9"/>
        <v>39173</v>
      </c>
      <c r="D86" s="15">
        <f t="shared" si="10"/>
        <v>39202</v>
      </c>
      <c r="E86" s="16">
        <f t="shared" si="13"/>
        <v>30</v>
      </c>
      <c r="F86">
        <f t="shared" si="11"/>
        <v>7.1638888888888888</v>
      </c>
      <c r="H86">
        <f>2.42*Sheet3!$F$12*E86/1.1^F86</f>
        <v>15329.928190158063</v>
      </c>
      <c r="I86">
        <f>1.5%*Sheet3!$F$13*E86*2.42/1.1^F86</f>
        <v>367.77493086336926</v>
      </c>
      <c r="J86">
        <f>0*Sheet3!$F$14*E86/1.1^F86</f>
        <v>0</v>
      </c>
      <c r="K86">
        <f>0.05*Sheet3!$F$17*E86/1.1^F86</f>
        <v>3085.0326461778245</v>
      </c>
    </row>
    <row r="87" spans="1:11" x14ac:dyDescent="0.3">
      <c r="A87">
        <v>83</v>
      </c>
      <c r="B87" s="14">
        <f t="shared" si="12"/>
        <v>39142</v>
      </c>
      <c r="C87" s="15">
        <f t="shared" si="9"/>
        <v>39203</v>
      </c>
      <c r="D87" s="15">
        <f t="shared" si="10"/>
        <v>39233</v>
      </c>
      <c r="E87" s="16">
        <f t="shared" si="13"/>
        <v>31</v>
      </c>
      <c r="F87">
        <f t="shared" si="11"/>
        <v>7.25</v>
      </c>
      <c r="H87">
        <f>2.42*Sheet3!$F$12*E87/1.1^F87</f>
        <v>15711.447172503988</v>
      </c>
      <c r="I87">
        <f>1.5%*Sheet3!$F$13*E87*2.42/1.1^F87</f>
        <v>376.92781896661666</v>
      </c>
      <c r="J87">
        <f>0*Sheet3!$F$14*E87/1.1^F87</f>
        <v>0</v>
      </c>
      <c r="K87">
        <f>0.05*Sheet3!$F$17*E87/1.1^F87</f>
        <v>3161.8104693400592</v>
      </c>
    </row>
    <row r="88" spans="1:11" x14ac:dyDescent="0.3">
      <c r="A88">
        <v>84</v>
      </c>
      <c r="B88" s="14">
        <f t="shared" si="12"/>
        <v>39173</v>
      </c>
      <c r="C88" s="15">
        <f t="shared" si="9"/>
        <v>39234</v>
      </c>
      <c r="D88" s="15">
        <f t="shared" si="10"/>
        <v>39263</v>
      </c>
      <c r="E88" s="16">
        <f t="shared" si="13"/>
        <v>30</v>
      </c>
      <c r="F88">
        <f t="shared" si="11"/>
        <v>7.3305555555555557</v>
      </c>
      <c r="H88">
        <f>2.42*Sheet3!$F$12*E88/1.1^F88</f>
        <v>15088.335753158024</v>
      </c>
      <c r="I88">
        <f>1.5%*Sheet3!$F$13*E88*2.42/1.1^F88</f>
        <v>361.97897143598942</v>
      </c>
      <c r="J88">
        <f>0*Sheet3!$F$14*E88/1.1^F88</f>
        <v>0</v>
      </c>
      <c r="K88">
        <f>0.05*Sheet3!$F$17*E88/1.1^F88</f>
        <v>3036.4139869140922</v>
      </c>
    </row>
    <row r="89" spans="1:11" x14ac:dyDescent="0.3">
      <c r="A89">
        <v>85</v>
      </c>
      <c r="B89" s="14">
        <f t="shared" si="12"/>
        <v>39203</v>
      </c>
      <c r="C89" s="15">
        <f t="shared" si="9"/>
        <v>39264</v>
      </c>
      <c r="D89" s="15">
        <f t="shared" si="10"/>
        <v>39294</v>
      </c>
      <c r="E89" s="16">
        <f t="shared" si="13"/>
        <v>31</v>
      </c>
      <c r="F89">
        <f t="shared" si="11"/>
        <v>7.416666666666667</v>
      </c>
      <c r="H89">
        <f>2.42*Sheet3!$F$12*E89/1.1^F89</f>
        <v>15463.842176308406</v>
      </c>
      <c r="I89">
        <f>1.5%*Sheet3!$F$13*E89*2.42/1.1^F89</f>
        <v>370.98761434023635</v>
      </c>
      <c r="J89">
        <f>0*Sheet3!$F$14*E89/1.1^F89</f>
        <v>0</v>
      </c>
      <c r="K89">
        <f>0.05*Sheet3!$F$17*E89/1.1^F89</f>
        <v>3111.9818278001389</v>
      </c>
    </row>
    <row r="90" spans="1:11" x14ac:dyDescent="0.3">
      <c r="A90">
        <v>86</v>
      </c>
      <c r="B90" s="14">
        <f t="shared" si="12"/>
        <v>39234</v>
      </c>
      <c r="C90" s="15">
        <f t="shared" si="9"/>
        <v>39295</v>
      </c>
      <c r="D90" s="15">
        <f t="shared" si="10"/>
        <v>39325</v>
      </c>
      <c r="E90" s="16">
        <f t="shared" si="13"/>
        <v>31</v>
      </c>
      <c r="F90">
        <f t="shared" si="11"/>
        <v>7.5</v>
      </c>
      <c r="H90">
        <f>2.42*Sheet3!$F$12*E90/1.1^F90</f>
        <v>15341.506846324823</v>
      </c>
      <c r="I90">
        <f>1.5%*Sheet3!$F$13*E90*2.42/1.1^F90</f>
        <v>368.05271034272482</v>
      </c>
      <c r="J90">
        <f>0*Sheet3!$F$14*E90/1.1^F90</f>
        <v>0</v>
      </c>
      <c r="K90">
        <f>0.05*Sheet3!$F$17*E90/1.1^F90</f>
        <v>3087.3627635684757</v>
      </c>
    </row>
    <row r="91" spans="1:11" x14ac:dyDescent="0.3">
      <c r="A91">
        <v>87</v>
      </c>
      <c r="B91" s="14">
        <f t="shared" si="12"/>
        <v>39264</v>
      </c>
      <c r="C91" s="15">
        <f t="shared" si="9"/>
        <v>39326</v>
      </c>
      <c r="D91" s="15">
        <f t="shared" si="10"/>
        <v>39355</v>
      </c>
      <c r="E91" s="16">
        <f t="shared" si="13"/>
        <v>30</v>
      </c>
      <c r="F91">
        <f t="shared" si="11"/>
        <v>7.5805555555555557</v>
      </c>
      <c r="H91">
        <f>2.42*Sheet3!$F$12*E91/1.1^F91</f>
        <v>14733.067152580448</v>
      </c>
      <c r="I91">
        <f>1.5%*Sheet3!$F$13*E91*2.42/1.1^F91</f>
        <v>353.45584703549628</v>
      </c>
      <c r="J91">
        <f>0*Sheet3!$F$14*E91/1.1^F91</f>
        <v>0</v>
      </c>
      <c r="K91">
        <f>0.05*Sheet3!$F$17*E91/1.1^F91</f>
        <v>2964.9188554726165</v>
      </c>
    </row>
    <row r="92" spans="1:11" x14ac:dyDescent="0.3">
      <c r="A92">
        <v>88</v>
      </c>
      <c r="B92" s="14">
        <f t="shared" si="12"/>
        <v>39295</v>
      </c>
      <c r="C92" s="15">
        <f t="shared" si="9"/>
        <v>39356</v>
      </c>
      <c r="D92" s="15">
        <f t="shared" si="10"/>
        <v>39386</v>
      </c>
      <c r="E92" s="16">
        <f t="shared" si="13"/>
        <v>31</v>
      </c>
      <c r="F92">
        <f t="shared" si="11"/>
        <v>7.666666666666667</v>
      </c>
      <c r="H92">
        <f>2.42*Sheet3!$F$12*E92/1.1^F92</f>
        <v>15099.73193516536</v>
      </c>
      <c r="I92">
        <f>1.5%*Sheet3!$F$13*E92*2.42/1.1^F92</f>
        <v>362.25237324178164</v>
      </c>
      <c r="J92">
        <f>0*Sheet3!$F$14*E92/1.1^F92</f>
        <v>0</v>
      </c>
      <c r="K92">
        <f>0.05*Sheet3!$F$17*E92/1.1^F92</f>
        <v>3038.7073827538056</v>
      </c>
    </row>
    <row r="93" spans="1:11" x14ac:dyDescent="0.3">
      <c r="A93">
        <v>89</v>
      </c>
      <c r="B93" s="14">
        <f t="shared" si="12"/>
        <v>39326</v>
      </c>
      <c r="C93" s="15">
        <f t="shared" si="9"/>
        <v>39387</v>
      </c>
      <c r="D93" s="15">
        <f t="shared" si="10"/>
        <v>39416</v>
      </c>
      <c r="E93" s="16">
        <f t="shared" si="13"/>
        <v>30</v>
      </c>
      <c r="F93">
        <f t="shared" si="11"/>
        <v>7.7472222222222218</v>
      </c>
      <c r="H93">
        <f>2.42*Sheet3!$F$12*E93/1.1^F93</f>
        <v>14500.880963987451</v>
      </c>
      <c r="I93">
        <f>1.5%*Sheet3!$F$13*E93*2.42/1.1^F93</f>
        <v>347.88554961479201</v>
      </c>
      <c r="J93">
        <f>0*Sheet3!$F$14*E93/1.1^F93</f>
        <v>0</v>
      </c>
      <c r="K93">
        <f>0.05*Sheet3!$F$17*E93/1.1^F93</f>
        <v>2918.1931328915498</v>
      </c>
    </row>
    <row r="94" spans="1:11" x14ac:dyDescent="0.3">
      <c r="A94">
        <v>90</v>
      </c>
      <c r="B94" s="14">
        <f t="shared" si="12"/>
        <v>39356</v>
      </c>
      <c r="C94" s="15">
        <f t="shared" si="9"/>
        <v>39417</v>
      </c>
      <c r="D94" s="15">
        <f t="shared" si="10"/>
        <v>39447</v>
      </c>
      <c r="E94" s="16">
        <f t="shared" si="13"/>
        <v>31</v>
      </c>
      <c r="F94">
        <f t="shared" si="11"/>
        <v>7.833333333333333</v>
      </c>
      <c r="H94">
        <f>2.42*Sheet3!$F$12*E94/1.1^F94</f>
        <v>14861.767282558183</v>
      </c>
      <c r="I94">
        <f>1.5%*Sheet3!$F$13*E94*2.42/1.1^F94</f>
        <v>356.54344671747361</v>
      </c>
      <c r="J94">
        <f>0*Sheet3!$F$14*E94/1.1^F94</f>
        <v>0</v>
      </c>
      <c r="K94">
        <f>0.05*Sheet3!$F$17*E94/1.1^F94</f>
        <v>2990.8187877895566</v>
      </c>
    </row>
    <row r="95" spans="1:11" x14ac:dyDescent="0.3">
      <c r="A95">
        <v>91</v>
      </c>
      <c r="B95" s="14">
        <f t="shared" si="12"/>
        <v>39387</v>
      </c>
      <c r="C95" s="15">
        <f t="shared" si="9"/>
        <v>39448</v>
      </c>
      <c r="D95" s="15">
        <f t="shared" si="10"/>
        <v>39478</v>
      </c>
      <c r="E95" s="16">
        <f t="shared" si="13"/>
        <v>31</v>
      </c>
      <c r="F95">
        <f t="shared" si="11"/>
        <v>7.916666666666667</v>
      </c>
      <c r="H95">
        <f>2.42*Sheet3!$F$12*E95/1.1^F95</f>
        <v>14744.195001108206</v>
      </c>
      <c r="I95">
        <f>1.5%*Sheet3!$F$13*E95*2.42/1.1^F95</f>
        <v>353.72281134688694</v>
      </c>
      <c r="J95">
        <f>0*Sheet3!$F$14*E95/1.1^F95</f>
        <v>0</v>
      </c>
      <c r="K95">
        <f>0.05*Sheet3!$F$17*E95/1.1^F95</f>
        <v>2967.1582512195514</v>
      </c>
    </row>
    <row r="96" spans="1:11" x14ac:dyDescent="0.3">
      <c r="A96">
        <v>92</v>
      </c>
      <c r="B96" s="14">
        <f t="shared" si="12"/>
        <v>39417</v>
      </c>
      <c r="C96" s="15">
        <f t="shared" si="9"/>
        <v>39479</v>
      </c>
      <c r="D96" s="15">
        <f t="shared" si="10"/>
        <v>39507</v>
      </c>
      <c r="E96" s="16">
        <f t="shared" si="13"/>
        <v>29</v>
      </c>
      <c r="F96">
        <f t="shared" si="11"/>
        <v>7.9944444444444445</v>
      </c>
      <c r="H96">
        <f>2.42*Sheet3!$F$12*E96/1.1^F96</f>
        <v>13691.087279569279</v>
      </c>
      <c r="I96">
        <f>1.5%*Sheet3!$F$13*E96*2.42/1.1^F96</f>
        <v>328.45807333400364</v>
      </c>
      <c r="J96">
        <f>0*Sheet3!$F$14*E96/1.1^F96</f>
        <v>0</v>
      </c>
      <c r="K96">
        <f>0.05*Sheet3!$F$17*E96/1.1^F96</f>
        <v>2755.2282499443118</v>
      </c>
    </row>
    <row r="97" spans="1:11" x14ac:dyDescent="0.3">
      <c r="A97">
        <v>93</v>
      </c>
      <c r="B97" s="14">
        <f t="shared" si="12"/>
        <v>39448</v>
      </c>
      <c r="C97" s="15">
        <f t="shared" si="9"/>
        <v>39508</v>
      </c>
      <c r="D97" s="15">
        <f t="shared" si="10"/>
        <v>39538</v>
      </c>
      <c r="E97" s="16">
        <f t="shared" si="13"/>
        <v>31</v>
      </c>
      <c r="F97">
        <f t="shared" si="11"/>
        <v>8.0833333333333339</v>
      </c>
      <c r="H97">
        <f>2.42*Sheet3!$F$12*E97/1.1^F97</f>
        <v>14511.833442871526</v>
      </c>
      <c r="I97">
        <f>1.5%*Sheet3!$F$13*E97*2.42/1.1^F97</f>
        <v>348.14830669456484</v>
      </c>
      <c r="J97">
        <f>0*Sheet3!$F$14*E97/1.1^F97</f>
        <v>0</v>
      </c>
      <c r="K97">
        <f>0.05*Sheet3!$F$17*E97/1.1^F97</f>
        <v>2920.3972368178579</v>
      </c>
    </row>
    <row r="98" spans="1:11" x14ac:dyDescent="0.3">
      <c r="A98">
        <v>94</v>
      </c>
      <c r="B98" s="14">
        <f t="shared" si="12"/>
        <v>39479</v>
      </c>
      <c r="C98" s="15">
        <f t="shared" si="9"/>
        <v>39539</v>
      </c>
      <c r="D98" s="15">
        <f t="shared" si="10"/>
        <v>39568</v>
      </c>
      <c r="E98" s="16">
        <f t="shared" si="13"/>
        <v>30</v>
      </c>
      <c r="F98">
        <f t="shared" si="11"/>
        <v>8.1638888888888896</v>
      </c>
      <c r="H98">
        <f>2.42*Sheet3!$F$12*E98/1.1^F98</f>
        <v>13936.298354689148</v>
      </c>
      <c r="I98">
        <f>1.5%*Sheet3!$F$13*E98*2.42/1.1^F98</f>
        <v>334.34084623942658</v>
      </c>
      <c r="J98">
        <f>0*Sheet3!$F$14*E98/1.1^F98</f>
        <v>0</v>
      </c>
      <c r="K98">
        <f>0.05*Sheet3!$F$17*E98/1.1^F98</f>
        <v>2804.5751328889314</v>
      </c>
    </row>
    <row r="99" spans="1:11" x14ac:dyDescent="0.3">
      <c r="A99">
        <v>95</v>
      </c>
      <c r="B99" s="14">
        <f t="shared" si="12"/>
        <v>39508</v>
      </c>
      <c r="C99" s="15">
        <f t="shared" si="9"/>
        <v>39569</v>
      </c>
      <c r="D99" s="15">
        <f t="shared" si="10"/>
        <v>39599</v>
      </c>
      <c r="E99" s="16">
        <f t="shared" si="13"/>
        <v>31</v>
      </c>
      <c r="F99">
        <f t="shared" si="11"/>
        <v>8.25</v>
      </c>
      <c r="H99">
        <f>2.42*Sheet3!$F$12*E99/1.1^F99</f>
        <v>14283.133793185441</v>
      </c>
      <c r="I99">
        <f>1.5%*Sheet3!$F$13*E99*2.42/1.1^F99</f>
        <v>342.66165360601508</v>
      </c>
      <c r="J99">
        <f>0*Sheet3!$F$14*E99/1.1^F99</f>
        <v>0</v>
      </c>
      <c r="K99">
        <f>0.05*Sheet3!$F$17*E99/1.1^F99</f>
        <v>2874.3731539455084</v>
      </c>
    </row>
    <row r="100" spans="1:11" x14ac:dyDescent="0.3">
      <c r="A100">
        <v>96</v>
      </c>
      <c r="B100" s="14">
        <f t="shared" si="12"/>
        <v>39539</v>
      </c>
      <c r="C100" s="15">
        <f t="shared" si="9"/>
        <v>39600</v>
      </c>
      <c r="D100" s="15">
        <f t="shared" si="10"/>
        <v>39629</v>
      </c>
      <c r="E100" s="16">
        <f t="shared" si="13"/>
        <v>30</v>
      </c>
      <c r="F100">
        <f t="shared" si="11"/>
        <v>8.3305555555555557</v>
      </c>
      <c r="H100">
        <f>2.42*Sheet3!$F$12*E100/1.1^F100</f>
        <v>13716.668866507296</v>
      </c>
      <c r="I100">
        <f>1.5%*Sheet3!$F$13*E100*2.42/1.1^F100</f>
        <v>329.07179221453583</v>
      </c>
      <c r="J100">
        <f>0*Sheet3!$F$14*E100/1.1^F100</f>
        <v>0</v>
      </c>
      <c r="K100">
        <f>0.05*Sheet3!$F$17*E100/1.1^F100</f>
        <v>2760.3763517400839</v>
      </c>
    </row>
    <row r="101" spans="1:11" x14ac:dyDescent="0.3">
      <c r="A101">
        <v>97</v>
      </c>
      <c r="B101" s="14">
        <f t="shared" si="12"/>
        <v>39569</v>
      </c>
      <c r="C101" s="15">
        <f t="shared" ref="C101:C132" si="14">EOMONTH(B101,1)+1</f>
        <v>39630</v>
      </c>
      <c r="D101" s="15">
        <f t="shared" ref="D101:D132" si="15">EOMONTH(C101,0)</f>
        <v>39660</v>
      </c>
      <c r="E101" s="16">
        <f t="shared" si="13"/>
        <v>31</v>
      </c>
      <c r="F101">
        <f t="shared" ref="F101:F124" si="16">YEARFRAC($C$4,D101)</f>
        <v>8.4166666666666661</v>
      </c>
      <c r="H101">
        <f>2.42*Sheet3!$F$12*E101/1.1^F101</f>
        <v>14058.038342098551</v>
      </c>
      <c r="I101">
        <f>1.5%*Sheet3!$F$13*E101*2.42/1.1^F101</f>
        <v>337.26146758203305</v>
      </c>
      <c r="J101">
        <f>0*Sheet3!$F$14*E101/1.1^F101</f>
        <v>0</v>
      </c>
      <c r="K101">
        <f>0.05*Sheet3!$F$17*E101/1.1^F101</f>
        <v>2829.0743889092173</v>
      </c>
    </row>
    <row r="102" spans="1:11" x14ac:dyDescent="0.3">
      <c r="A102">
        <v>98</v>
      </c>
      <c r="B102" s="14">
        <f t="shared" ref="B102:B124" si="17">EOMONTH(B101,0)+1</f>
        <v>39600</v>
      </c>
      <c r="C102" s="15">
        <f t="shared" si="14"/>
        <v>39661</v>
      </c>
      <c r="D102" s="15">
        <f t="shared" si="15"/>
        <v>39691</v>
      </c>
      <c r="E102" s="16">
        <f t="shared" si="13"/>
        <v>31</v>
      </c>
      <c r="F102">
        <f t="shared" si="16"/>
        <v>8.5</v>
      </c>
      <c r="H102">
        <f>2.42*Sheet3!$F$12*E102/1.1^F102</f>
        <v>13946.824405749838</v>
      </c>
      <c r="I102">
        <f>1.5%*Sheet3!$F$13*E102*2.42/1.1^F102</f>
        <v>334.5933730388407</v>
      </c>
      <c r="J102">
        <f>0*Sheet3!$F$14*E102/1.1^F102</f>
        <v>0</v>
      </c>
      <c r="K102">
        <f>0.05*Sheet3!$F$17*E102/1.1^F102</f>
        <v>2806.6934214258868</v>
      </c>
    </row>
    <row r="103" spans="1:11" x14ac:dyDescent="0.3">
      <c r="A103">
        <v>99</v>
      </c>
      <c r="B103" s="14">
        <f t="shared" si="17"/>
        <v>39630</v>
      </c>
      <c r="C103" s="15">
        <f t="shared" si="14"/>
        <v>39692</v>
      </c>
      <c r="D103" s="15">
        <f t="shared" si="15"/>
        <v>39721</v>
      </c>
      <c r="E103" s="16">
        <f t="shared" si="13"/>
        <v>30</v>
      </c>
      <c r="F103">
        <f t="shared" si="16"/>
        <v>8.5805555555555557</v>
      </c>
      <c r="H103">
        <f>2.42*Sheet3!$F$12*E103/1.1^F103</f>
        <v>13393.697411436769</v>
      </c>
      <c r="I103">
        <f>1.5%*Sheet3!$F$13*E103*2.42/1.1^F103</f>
        <v>321.32349730499658</v>
      </c>
      <c r="J103">
        <f>0*Sheet3!$F$14*E103/1.1^F103</f>
        <v>0</v>
      </c>
      <c r="K103">
        <f>0.05*Sheet3!$F$17*E103/1.1^F103</f>
        <v>2695.3807777023785</v>
      </c>
    </row>
    <row r="104" spans="1:11" x14ac:dyDescent="0.3">
      <c r="A104">
        <v>100</v>
      </c>
      <c r="B104" s="14">
        <f t="shared" si="17"/>
        <v>39661</v>
      </c>
      <c r="C104" s="15">
        <f t="shared" si="14"/>
        <v>39722</v>
      </c>
      <c r="D104" s="15">
        <f t="shared" si="15"/>
        <v>39752</v>
      </c>
      <c r="E104" s="16">
        <f t="shared" si="13"/>
        <v>31</v>
      </c>
      <c r="F104">
        <f t="shared" si="16"/>
        <v>8.6666666666666661</v>
      </c>
      <c r="H104">
        <f>2.42*Sheet3!$F$12*E104/1.1^F104</f>
        <v>13727.029031968508</v>
      </c>
      <c r="I104">
        <f>1.5%*Sheet3!$F$13*E104*2.42/1.1^F104</f>
        <v>329.32033931071055</v>
      </c>
      <c r="J104">
        <f>0*Sheet3!$F$14*E104/1.1^F104</f>
        <v>0</v>
      </c>
      <c r="K104">
        <f>0.05*Sheet3!$F$17*E104/1.1^F104</f>
        <v>2762.4612570489139</v>
      </c>
    </row>
    <row r="105" spans="1:11" x14ac:dyDescent="0.3">
      <c r="A105">
        <v>101</v>
      </c>
      <c r="B105" s="14">
        <f t="shared" si="17"/>
        <v>39692</v>
      </c>
      <c r="C105" s="15">
        <f t="shared" si="14"/>
        <v>39753</v>
      </c>
      <c r="D105" s="15">
        <f t="shared" si="15"/>
        <v>39782</v>
      </c>
      <c r="E105" s="16">
        <f t="shared" si="13"/>
        <v>30</v>
      </c>
      <c r="F105">
        <f t="shared" si="16"/>
        <v>8.7472222222222218</v>
      </c>
      <c r="H105">
        <f>2.42*Sheet3!$F$12*E105/1.1^F105</f>
        <v>13182.61905817041</v>
      </c>
      <c r="I105">
        <f>1.5%*Sheet3!$F$13*E105*2.42/1.1^F105</f>
        <v>316.25959055890183</v>
      </c>
      <c r="J105">
        <f>0*Sheet3!$F$14*E105/1.1^F105</f>
        <v>0</v>
      </c>
      <c r="K105">
        <f>0.05*Sheet3!$F$17*E105/1.1^F105</f>
        <v>2652.9028480832271</v>
      </c>
    </row>
    <row r="106" spans="1:11" x14ac:dyDescent="0.3">
      <c r="A106">
        <v>102</v>
      </c>
      <c r="B106" s="14">
        <f t="shared" si="17"/>
        <v>39722</v>
      </c>
      <c r="C106" s="15">
        <f t="shared" si="14"/>
        <v>39783</v>
      </c>
      <c r="D106" s="15">
        <f t="shared" si="15"/>
        <v>39813</v>
      </c>
      <c r="E106" s="16">
        <f t="shared" si="13"/>
        <v>31</v>
      </c>
      <c r="F106">
        <f t="shared" si="16"/>
        <v>8.8333333333333339</v>
      </c>
      <c r="H106">
        <f>2.42*Sheet3!$F$12*E106/1.1^F106</f>
        <v>13510.697529598348</v>
      </c>
      <c r="I106">
        <f>1.5%*Sheet3!$F$13*E106*2.42/1.1^F106</f>
        <v>324.13040610679423</v>
      </c>
      <c r="J106">
        <f>0*Sheet3!$F$14*E106/1.1^F106</f>
        <v>0</v>
      </c>
      <c r="K106">
        <f>0.05*Sheet3!$F$17*E106/1.1^F106</f>
        <v>2718.9261707177789</v>
      </c>
    </row>
    <row r="107" spans="1:11" x14ac:dyDescent="0.3">
      <c r="A107">
        <v>103</v>
      </c>
      <c r="B107" s="14">
        <f t="shared" si="17"/>
        <v>39753</v>
      </c>
      <c r="C107" s="15">
        <f t="shared" si="14"/>
        <v>39814</v>
      </c>
      <c r="D107" s="15">
        <f t="shared" si="15"/>
        <v>39844</v>
      </c>
      <c r="E107" s="16">
        <f t="shared" si="13"/>
        <v>31</v>
      </c>
      <c r="F107">
        <f t="shared" si="16"/>
        <v>8.9166666666666661</v>
      </c>
      <c r="H107">
        <f>2.42*Sheet3!$F$12*E107/1.1^F107</f>
        <v>13403.813637371097</v>
      </c>
      <c r="I107">
        <f>1.5%*Sheet3!$F$13*E107*2.42/1.1^F107</f>
        <v>321.56619213353355</v>
      </c>
      <c r="J107">
        <f>0*Sheet3!$F$14*E107/1.1^F107</f>
        <v>0</v>
      </c>
      <c r="K107">
        <f>0.05*Sheet3!$F$17*E107/1.1^F107</f>
        <v>2697.4165920177738</v>
      </c>
    </row>
    <row r="108" spans="1:11" x14ac:dyDescent="0.3">
      <c r="A108">
        <v>104</v>
      </c>
      <c r="B108" s="14">
        <f t="shared" si="17"/>
        <v>39783</v>
      </c>
      <c r="C108" s="15">
        <f t="shared" si="14"/>
        <v>39845</v>
      </c>
      <c r="D108" s="15">
        <f t="shared" si="15"/>
        <v>39872</v>
      </c>
      <c r="E108" s="16">
        <f t="shared" si="13"/>
        <v>28</v>
      </c>
      <c r="F108">
        <f t="shared" si="16"/>
        <v>8.9916666666666671</v>
      </c>
      <c r="H108">
        <f>2.42*Sheet3!$F$12*E108/1.1^F108</f>
        <v>12020.437287951538</v>
      </c>
      <c r="I108">
        <f>1.5%*Sheet3!$F$13*E108*2.42/1.1^F108</f>
        <v>288.37809529740923</v>
      </c>
      <c r="J108">
        <f>0*Sheet3!$F$14*E108/1.1^F108</f>
        <v>0</v>
      </c>
      <c r="K108">
        <f>0.05*Sheet3!$F$17*E108/1.1^F108</f>
        <v>2419.022515609146</v>
      </c>
    </row>
    <row r="109" spans="1:11" x14ac:dyDescent="0.3">
      <c r="A109">
        <v>105</v>
      </c>
      <c r="B109" s="14">
        <f t="shared" si="17"/>
        <v>39814</v>
      </c>
      <c r="C109" s="15">
        <f t="shared" si="14"/>
        <v>39873</v>
      </c>
      <c r="D109" s="15">
        <f t="shared" si="15"/>
        <v>39903</v>
      </c>
      <c r="E109" s="16">
        <f t="shared" si="13"/>
        <v>31</v>
      </c>
      <c r="F109">
        <f t="shared" si="16"/>
        <v>9.0833333333333339</v>
      </c>
      <c r="H109">
        <f>2.42*Sheet3!$F$12*E109/1.1^F109</f>
        <v>13192.575857155933</v>
      </c>
      <c r="I109">
        <f>1.5%*Sheet3!$F$13*E109*2.42/1.1^F109</f>
        <v>316.49846063142257</v>
      </c>
      <c r="J109">
        <f>0*Sheet3!$F$14*E109/1.1^F109</f>
        <v>0</v>
      </c>
      <c r="K109">
        <f>0.05*Sheet3!$F$17*E109/1.1^F109</f>
        <v>2654.9065789253254</v>
      </c>
    </row>
    <row r="110" spans="1:11" x14ac:dyDescent="0.3">
      <c r="A110">
        <v>106</v>
      </c>
      <c r="B110" s="14">
        <f t="shared" si="17"/>
        <v>39845</v>
      </c>
      <c r="C110" s="15">
        <f t="shared" si="14"/>
        <v>39904</v>
      </c>
      <c r="D110" s="15">
        <f t="shared" si="15"/>
        <v>39933</v>
      </c>
      <c r="E110" s="16">
        <f t="shared" si="13"/>
        <v>30</v>
      </c>
      <c r="F110">
        <f t="shared" si="16"/>
        <v>9.1638888888888896</v>
      </c>
      <c r="H110">
        <f>2.42*Sheet3!$F$12*E110/1.1^F110</f>
        <v>12669.362140626496</v>
      </c>
      <c r="I110">
        <f>1.5%*Sheet3!$F$13*E110*2.42/1.1^F110</f>
        <v>303.94622385402408</v>
      </c>
      <c r="J110">
        <f>0*Sheet3!$F$14*E110/1.1^F110</f>
        <v>0</v>
      </c>
      <c r="K110">
        <f>0.05*Sheet3!$F$17*E110/1.1^F110</f>
        <v>2549.613757171755</v>
      </c>
    </row>
    <row r="111" spans="1:11" x14ac:dyDescent="0.3">
      <c r="A111">
        <v>107</v>
      </c>
      <c r="B111" s="14">
        <f t="shared" si="17"/>
        <v>39873</v>
      </c>
      <c r="C111" s="15">
        <f t="shared" si="14"/>
        <v>39934</v>
      </c>
      <c r="D111" s="15">
        <f t="shared" si="15"/>
        <v>39964</v>
      </c>
      <c r="E111" s="16">
        <f t="shared" si="13"/>
        <v>31</v>
      </c>
      <c r="F111">
        <f t="shared" si="16"/>
        <v>9.25</v>
      </c>
      <c r="H111">
        <f>2.42*Sheet3!$F$12*E111/1.1^F111</f>
        <v>12984.667084714038</v>
      </c>
      <c r="I111">
        <f>1.5%*Sheet3!$F$13*E111*2.42/1.1^F111</f>
        <v>311.51059418728642</v>
      </c>
      <c r="J111">
        <f>0*Sheet3!$F$14*E111/1.1^F111</f>
        <v>0</v>
      </c>
      <c r="K111">
        <f>0.05*Sheet3!$F$17*E111/1.1^F111</f>
        <v>2613.0665035868255</v>
      </c>
    </row>
    <row r="112" spans="1:11" x14ac:dyDescent="0.3">
      <c r="A112">
        <v>108</v>
      </c>
      <c r="B112" s="14">
        <f t="shared" si="17"/>
        <v>39904</v>
      </c>
      <c r="C112" s="15">
        <f t="shared" si="14"/>
        <v>39965</v>
      </c>
      <c r="D112" s="15">
        <f t="shared" si="15"/>
        <v>39994</v>
      </c>
      <c r="E112" s="16">
        <f t="shared" si="13"/>
        <v>30</v>
      </c>
      <c r="F112">
        <f t="shared" si="16"/>
        <v>9.3305555555555557</v>
      </c>
      <c r="H112">
        <f>2.42*Sheet3!$F$12*E112/1.1^F112</f>
        <v>12469.698969552084</v>
      </c>
      <c r="I112">
        <f>1.5%*Sheet3!$F$13*E112*2.42/1.1^F112</f>
        <v>299.15617474048707</v>
      </c>
      <c r="J112">
        <f>0*Sheet3!$F$14*E112/1.1^F112</f>
        <v>0</v>
      </c>
      <c r="K112">
        <f>0.05*Sheet3!$F$17*E112/1.1^F112</f>
        <v>2509.4330470364393</v>
      </c>
    </row>
    <row r="113" spans="1:11" x14ac:dyDescent="0.3">
      <c r="A113">
        <v>109</v>
      </c>
      <c r="B113" s="14">
        <f t="shared" si="17"/>
        <v>39934</v>
      </c>
      <c r="C113" s="15">
        <f t="shared" si="14"/>
        <v>39995</v>
      </c>
      <c r="D113" s="15">
        <f t="shared" si="15"/>
        <v>40025</v>
      </c>
      <c r="E113" s="16">
        <f t="shared" si="13"/>
        <v>31</v>
      </c>
      <c r="F113">
        <f t="shared" si="16"/>
        <v>9.4166666666666661</v>
      </c>
      <c r="H113">
        <f>2.42*Sheet3!$F$12*E113/1.1^F113</f>
        <v>12780.034856453227</v>
      </c>
      <c r="I113">
        <f>1.5%*Sheet3!$F$13*E113*2.42/1.1^F113</f>
        <v>306.60133416548456</v>
      </c>
      <c r="J113">
        <f>0*Sheet3!$F$14*E113/1.1^F113</f>
        <v>0</v>
      </c>
      <c r="K113">
        <f>0.05*Sheet3!$F$17*E113/1.1^F113</f>
        <v>2571.8858080992882</v>
      </c>
    </row>
    <row r="114" spans="1:11" x14ac:dyDescent="0.3">
      <c r="A114">
        <v>110</v>
      </c>
      <c r="B114" s="14">
        <f t="shared" si="17"/>
        <v>39965</v>
      </c>
      <c r="C114" s="15">
        <f t="shared" si="14"/>
        <v>40026</v>
      </c>
      <c r="D114" s="15">
        <f t="shared" si="15"/>
        <v>40056</v>
      </c>
      <c r="E114" s="16">
        <f t="shared" si="13"/>
        <v>31</v>
      </c>
      <c r="F114">
        <f t="shared" si="16"/>
        <v>9.5</v>
      </c>
      <c r="H114">
        <f>2.42*Sheet3!$F$12*E114/1.1^F114</f>
        <v>12678.931277954398</v>
      </c>
      <c r="I114">
        <f>1.5%*Sheet3!$F$13*E114*2.42/1.1^F114</f>
        <v>304.17579367167338</v>
      </c>
      <c r="J114">
        <f>0*Sheet3!$F$14*E114/1.1^F114</f>
        <v>0</v>
      </c>
      <c r="K114">
        <f>0.05*Sheet3!$F$17*E114/1.1^F114</f>
        <v>2551.5394740235333</v>
      </c>
    </row>
    <row r="115" spans="1:11" x14ac:dyDescent="0.3">
      <c r="A115">
        <v>111</v>
      </c>
      <c r="B115" s="14">
        <f t="shared" si="17"/>
        <v>39995</v>
      </c>
      <c r="C115" s="15">
        <f t="shared" si="14"/>
        <v>40057</v>
      </c>
      <c r="D115" s="15">
        <f t="shared" si="15"/>
        <v>40086</v>
      </c>
      <c r="E115" s="16">
        <f t="shared" si="13"/>
        <v>30</v>
      </c>
      <c r="F115">
        <f t="shared" si="16"/>
        <v>9.5805555555555557</v>
      </c>
      <c r="H115">
        <f>2.42*Sheet3!$F$12*E115/1.1^F115</f>
        <v>12176.088555851609</v>
      </c>
      <c r="I115">
        <f>1.5%*Sheet3!$F$13*E115*2.42/1.1^F115</f>
        <v>292.1122702772696</v>
      </c>
      <c r="J115">
        <f>0*Sheet3!$F$14*E115/1.1^F115</f>
        <v>0</v>
      </c>
      <c r="K115">
        <f>0.05*Sheet3!$F$17*E115/1.1^F115</f>
        <v>2450.3461615476167</v>
      </c>
    </row>
    <row r="116" spans="1:11" x14ac:dyDescent="0.3">
      <c r="A116">
        <v>112</v>
      </c>
      <c r="B116" s="14">
        <f t="shared" si="17"/>
        <v>40026</v>
      </c>
      <c r="C116" s="15">
        <f t="shared" si="14"/>
        <v>40087</v>
      </c>
      <c r="D116" s="15">
        <f t="shared" si="15"/>
        <v>40117</v>
      </c>
      <c r="E116" s="16">
        <f t="shared" si="13"/>
        <v>31</v>
      </c>
      <c r="F116">
        <f t="shared" si="16"/>
        <v>9.6666666666666661</v>
      </c>
      <c r="H116">
        <f>2.42*Sheet3!$F$12*E116/1.1^F116</f>
        <v>12479.117301789554</v>
      </c>
      <c r="I116">
        <f>1.5%*Sheet3!$F$13*E116*2.42/1.1^F116</f>
        <v>299.38212664610052</v>
      </c>
      <c r="J116">
        <f>0*Sheet3!$F$14*E116/1.1^F116</f>
        <v>0</v>
      </c>
      <c r="K116">
        <f>0.05*Sheet3!$F$17*E116/1.1^F116</f>
        <v>2511.3284154990129</v>
      </c>
    </row>
    <row r="117" spans="1:11" x14ac:dyDescent="0.3">
      <c r="A117">
        <v>113</v>
      </c>
      <c r="B117" s="14">
        <f t="shared" si="17"/>
        <v>40057</v>
      </c>
      <c r="C117" s="15">
        <f t="shared" si="14"/>
        <v>40118</v>
      </c>
      <c r="D117" s="15">
        <f t="shared" si="15"/>
        <v>40147</v>
      </c>
      <c r="E117" s="16">
        <f t="shared" si="13"/>
        <v>30</v>
      </c>
      <c r="F117">
        <f t="shared" si="16"/>
        <v>9.7472222222222218</v>
      </c>
      <c r="H117">
        <f>2.42*Sheet3!$F$12*E117/1.1^F117</f>
        <v>11984.19914379128</v>
      </c>
      <c r="I117">
        <f>1.5%*Sheet3!$F$13*E117*2.42/1.1^F117</f>
        <v>287.50871868991072</v>
      </c>
      <c r="J117">
        <f>0*Sheet3!$F$14*E117/1.1^F117</f>
        <v>0</v>
      </c>
      <c r="K117">
        <f>0.05*Sheet3!$F$17*E117/1.1^F117</f>
        <v>2411.7298618938426</v>
      </c>
    </row>
    <row r="118" spans="1:11" x14ac:dyDescent="0.3">
      <c r="A118">
        <v>114</v>
      </c>
      <c r="B118" s="14">
        <f t="shared" si="17"/>
        <v>40087</v>
      </c>
      <c r="C118" s="15">
        <f t="shared" si="14"/>
        <v>40148</v>
      </c>
      <c r="D118" s="15">
        <f t="shared" si="15"/>
        <v>40178</v>
      </c>
      <c r="E118" s="16">
        <f t="shared" si="13"/>
        <v>31</v>
      </c>
      <c r="F118">
        <f t="shared" si="16"/>
        <v>9.8333333333333339</v>
      </c>
      <c r="H118">
        <f>2.42*Sheet3!$F$12*E118/1.1^F118</f>
        <v>12282.452299634861</v>
      </c>
      <c r="I118">
        <f>1.5%*Sheet3!$F$13*E118*2.42/1.1^F118</f>
        <v>294.66400555163108</v>
      </c>
      <c r="J118">
        <f>0*Sheet3!$F$14*E118/1.1^F118</f>
        <v>0</v>
      </c>
      <c r="K118">
        <f>0.05*Sheet3!$F$17*E118/1.1^F118</f>
        <v>2471.7510642888892</v>
      </c>
    </row>
    <row r="119" spans="1:11" x14ac:dyDescent="0.3">
      <c r="A119">
        <v>115</v>
      </c>
      <c r="B119" s="14">
        <f t="shared" si="17"/>
        <v>40118</v>
      </c>
      <c r="C119" s="15">
        <f t="shared" si="14"/>
        <v>40179</v>
      </c>
      <c r="D119" s="15">
        <f t="shared" si="15"/>
        <v>40209</v>
      </c>
      <c r="E119" s="16">
        <f t="shared" si="13"/>
        <v>31</v>
      </c>
      <c r="F119">
        <f t="shared" si="16"/>
        <v>9.9166666666666661</v>
      </c>
      <c r="H119">
        <f>2.42*Sheet3!$F$12*E119/1.1^F119</f>
        <v>12185.285124882816</v>
      </c>
      <c r="I119">
        <f>1.5%*Sheet3!$F$13*E119*2.42/1.1^F119</f>
        <v>292.332901939576</v>
      </c>
      <c r="J119">
        <f>0*Sheet3!$F$14*E119/1.1^F119</f>
        <v>0</v>
      </c>
      <c r="K119">
        <f>0.05*Sheet3!$F$17*E119/1.1^F119</f>
        <v>2452.1969018343402</v>
      </c>
    </row>
    <row r="120" spans="1:11" x14ac:dyDescent="0.3">
      <c r="A120">
        <v>116</v>
      </c>
      <c r="B120" s="14">
        <f t="shared" si="17"/>
        <v>40148</v>
      </c>
      <c r="C120" s="15">
        <f t="shared" si="14"/>
        <v>40210</v>
      </c>
      <c r="D120" s="15">
        <f t="shared" si="15"/>
        <v>40237</v>
      </c>
      <c r="E120" s="16">
        <f t="shared" si="13"/>
        <v>28</v>
      </c>
      <c r="F120">
        <f t="shared" si="16"/>
        <v>9.9916666666666671</v>
      </c>
      <c r="H120">
        <f>2.42*Sheet3!$F$12*E120/1.1^F120</f>
        <v>10927.670261774121</v>
      </c>
      <c r="I120">
        <f>1.5%*Sheet3!$F$13*E120*2.42/1.1^F120</f>
        <v>262.16190481582652</v>
      </c>
      <c r="J120">
        <f>0*Sheet3!$F$14*E120/1.1^F120</f>
        <v>0</v>
      </c>
      <c r="K120">
        <f>0.05*Sheet3!$F$17*E120/1.1^F120</f>
        <v>2199.1113778264958</v>
      </c>
    </row>
    <row r="121" spans="1:11" x14ac:dyDescent="0.3">
      <c r="A121">
        <v>117</v>
      </c>
      <c r="B121" s="14">
        <f t="shared" si="17"/>
        <v>40179</v>
      </c>
      <c r="C121" s="15">
        <f t="shared" si="14"/>
        <v>40238</v>
      </c>
      <c r="D121" s="15">
        <f t="shared" si="15"/>
        <v>40268</v>
      </c>
      <c r="E121" s="16">
        <f t="shared" si="13"/>
        <v>31</v>
      </c>
      <c r="F121">
        <f t="shared" si="16"/>
        <v>10.083333333333334</v>
      </c>
      <c r="H121">
        <f>2.42*Sheet3!$F$12*E121/1.1^F121</f>
        <v>11993.250779232663</v>
      </c>
      <c r="I121">
        <f>1.5%*Sheet3!$F$13*E121*2.42/1.1^F121</f>
        <v>287.72587330129323</v>
      </c>
      <c r="J121">
        <f>0*Sheet3!$F$14*E121/1.1^F121</f>
        <v>0</v>
      </c>
      <c r="K121">
        <f>0.05*Sheet3!$F$17*E121/1.1^F121</f>
        <v>2413.5514353866588</v>
      </c>
    </row>
    <row r="122" spans="1:11" x14ac:dyDescent="0.3">
      <c r="A122">
        <v>118</v>
      </c>
      <c r="B122" s="14">
        <f t="shared" si="17"/>
        <v>40210</v>
      </c>
      <c r="C122" s="15">
        <f t="shared" si="14"/>
        <v>40269</v>
      </c>
      <c r="D122" s="15">
        <f t="shared" si="15"/>
        <v>40298</v>
      </c>
      <c r="E122" s="16">
        <f t="shared" si="13"/>
        <v>30</v>
      </c>
      <c r="F122">
        <f t="shared" si="16"/>
        <v>10.16388888888889</v>
      </c>
      <c r="H122">
        <f>2.42*Sheet3!$F$12*E122/1.1^F122</f>
        <v>11517.601946024088</v>
      </c>
      <c r="I122">
        <f>1.5%*Sheet3!$F$13*E122*2.42/1.1^F122</f>
        <v>276.31474895820372</v>
      </c>
      <c r="J122">
        <f>0*Sheet3!$F$14*E122/1.1^F122</f>
        <v>0</v>
      </c>
      <c r="K122">
        <f>0.05*Sheet3!$F$17*E122/1.1^F122</f>
        <v>2317.8306883379591</v>
      </c>
    </row>
    <row r="123" spans="1:11" x14ac:dyDescent="0.3">
      <c r="A123">
        <v>119</v>
      </c>
      <c r="B123" s="14">
        <f t="shared" si="17"/>
        <v>40238</v>
      </c>
      <c r="C123" s="15">
        <f t="shared" si="14"/>
        <v>40299</v>
      </c>
      <c r="D123" s="15">
        <f t="shared" si="15"/>
        <v>40329</v>
      </c>
      <c r="E123" s="16">
        <f t="shared" si="13"/>
        <v>31</v>
      </c>
      <c r="F123">
        <f t="shared" si="16"/>
        <v>10.25</v>
      </c>
      <c r="H123">
        <f>2.42*Sheet3!$F$12*E123/1.1^F123</f>
        <v>11804.242804285486</v>
      </c>
      <c r="I123">
        <f>1.5%*Sheet3!$F$13*E123*2.42/1.1^F123</f>
        <v>283.19144926116945</v>
      </c>
      <c r="J123">
        <f>0*Sheet3!$F$14*E123/1.1^F123</f>
        <v>0</v>
      </c>
      <c r="K123">
        <f>0.05*Sheet3!$F$17*E123/1.1^F123</f>
        <v>2375.5150032607503</v>
      </c>
    </row>
    <row r="124" spans="1:11" x14ac:dyDescent="0.3">
      <c r="A124">
        <v>120</v>
      </c>
      <c r="B124" s="14">
        <f t="shared" si="17"/>
        <v>40269</v>
      </c>
      <c r="C124" s="15">
        <f t="shared" si="14"/>
        <v>40330</v>
      </c>
      <c r="D124" s="15">
        <f t="shared" si="15"/>
        <v>40359</v>
      </c>
      <c r="E124" s="16">
        <f t="shared" si="13"/>
        <v>30</v>
      </c>
      <c r="F124">
        <f t="shared" si="16"/>
        <v>10.330555555555556</v>
      </c>
      <c r="H124">
        <f>2.42*Sheet3!$F$12*E124/1.1^F124</f>
        <v>11336.089972320076</v>
      </c>
      <c r="I124">
        <f>1.5%*Sheet3!$F$13*E124*2.42/1.1^F124</f>
        <v>271.96015885498821</v>
      </c>
      <c r="J124">
        <f>0*Sheet3!$F$14*E124/1.1^F124</f>
        <v>0</v>
      </c>
      <c r="K124">
        <f>0.05*Sheet3!$F$17*E124/1.1^F124</f>
        <v>2281.3027700331263</v>
      </c>
    </row>
    <row r="126" spans="1:11" x14ac:dyDescent="0.3">
      <c r="F126" s="2" t="s">
        <v>25</v>
      </c>
      <c r="G126" s="2"/>
      <c r="H126" s="17">
        <f>SUM(H5:H124)</f>
        <v>2298454.1932197134</v>
      </c>
      <c r="I126" s="17">
        <f>SUM(I5:I124)</f>
        <v>55141.408460523649</v>
      </c>
      <c r="J126" s="17">
        <f>SUM(J5:J124)</f>
        <v>0</v>
      </c>
      <c r="K126" s="17">
        <f>SUM(K5:K124)</f>
        <v>462546.60386338172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"/>
  <sheetViews>
    <sheetView workbookViewId="0">
      <selection activeCell="C4" sqref="C4"/>
    </sheetView>
  </sheetViews>
  <sheetFormatPr defaultRowHeight="16.5" x14ac:dyDescent="0.3"/>
  <sheetData>
    <row r="1" spans="1:7" x14ac:dyDescent="0.3">
      <c r="A1" t="s">
        <v>49</v>
      </c>
    </row>
    <row r="2" spans="1:7" x14ac:dyDescent="0.3">
      <c r="A2" t="s">
        <v>30</v>
      </c>
      <c r="C2">
        <f>25%*24*10000*0.04964</f>
        <v>2978.3999999999996</v>
      </c>
      <c r="D2" s="18" t="s">
        <v>31</v>
      </c>
    </row>
    <row r="3" spans="1:7" x14ac:dyDescent="0.3">
      <c r="A3" t="s">
        <v>32</v>
      </c>
      <c r="C3">
        <f>75%*24*10000*0.00607</f>
        <v>1092.5999999999999</v>
      </c>
      <c r="D3" s="18" t="s">
        <v>31</v>
      </c>
    </row>
    <row r="4" spans="1:7" x14ac:dyDescent="0.3">
      <c r="A4" t="s">
        <v>33</v>
      </c>
      <c r="C4">
        <f>100%*24*10000*0.00607</f>
        <v>1456.8</v>
      </c>
      <c r="D4" s="18" t="s">
        <v>31</v>
      </c>
    </row>
    <row r="5" spans="1:7" x14ac:dyDescent="0.3">
      <c r="A5" t="s">
        <v>34</v>
      </c>
      <c r="C5">
        <f>C2+C3-C4</f>
        <v>2614.1999999999998</v>
      </c>
      <c r="D5" s="18" t="s">
        <v>31</v>
      </c>
    </row>
    <row r="7" spans="1:7" x14ac:dyDescent="0.3">
      <c r="B7" t="s">
        <v>35</v>
      </c>
      <c r="D7">
        <f>150000/365</f>
        <v>410.95890410958901</v>
      </c>
      <c r="E7" s="18" t="s">
        <v>31</v>
      </c>
      <c r="F7">
        <f>D7/2.42</f>
        <v>169.81772897090457</v>
      </c>
      <c r="G7" t="s">
        <v>4</v>
      </c>
    </row>
    <row r="8" spans="1:7" x14ac:dyDescent="0.3">
      <c r="B8" t="s">
        <v>36</v>
      </c>
      <c r="D8">
        <f>12.21*10000*1.005*1.0562/(365/12)</f>
        <v>4261.0464690410963</v>
      </c>
      <c r="E8" s="18" t="s">
        <v>31</v>
      </c>
      <c r="F8">
        <f>D8/2.42</f>
        <v>1760.7630037359902</v>
      </c>
      <c r="G8" t="s">
        <v>4</v>
      </c>
    </row>
    <row r="9" spans="1:7" x14ac:dyDescent="0.3">
      <c r="B9" t="s">
        <v>37</v>
      </c>
      <c r="D9">
        <f>1050*1.005*1.0562/(365/12)</f>
        <v>36.642905753424657</v>
      </c>
      <c r="E9" s="18" t="s">
        <v>31</v>
      </c>
      <c r="F9">
        <f>D9/2.42</f>
        <v>15.141696592324239</v>
      </c>
      <c r="G9" t="s">
        <v>4</v>
      </c>
    </row>
    <row r="10" spans="1:7" x14ac:dyDescent="0.3">
      <c r="B10" t="s">
        <v>38</v>
      </c>
      <c r="D10" s="19">
        <f>442562/(2*365)</f>
        <v>606.24931506849316</v>
      </c>
      <c r="E10" s="18" t="s">
        <v>31</v>
      </c>
      <c r="F10">
        <f>D10/2.42</f>
        <v>250.51624589607155</v>
      </c>
      <c r="G10" t="s">
        <v>4</v>
      </c>
    </row>
    <row r="12" spans="1:7" x14ac:dyDescent="0.3">
      <c r="B12" t="s">
        <v>39</v>
      </c>
      <c r="F12">
        <f>C5-SUM(F7:F10)</f>
        <v>417.96132480470942</v>
      </c>
      <c r="G12" t="s">
        <v>4</v>
      </c>
    </row>
    <row r="13" spans="1:7" x14ac:dyDescent="0.3">
      <c r="B13" t="s">
        <v>40</v>
      </c>
      <c r="F13">
        <f>F12+F10</f>
        <v>668.47757070078092</v>
      </c>
      <c r="G13" t="s">
        <v>4</v>
      </c>
    </row>
    <row r="14" spans="1:7" x14ac:dyDescent="0.3">
      <c r="B14" t="s">
        <v>41</v>
      </c>
      <c r="F14">
        <f>C5</f>
        <v>2614.1999999999998</v>
      </c>
      <c r="G14" t="s">
        <v>4</v>
      </c>
    </row>
    <row r="15" spans="1:7" x14ac:dyDescent="0.3">
      <c r="B15" t="s">
        <v>42</v>
      </c>
      <c r="F15">
        <f>C4+C5</f>
        <v>4071</v>
      </c>
      <c r="G15" t="s">
        <v>4</v>
      </c>
    </row>
    <row r="17" spans="2:7" x14ac:dyDescent="0.3">
      <c r="B17" t="s">
        <v>47</v>
      </c>
      <c r="F17">
        <f>24*10000*(0.25*0.04964+0.75*0.00607)</f>
        <v>4070.9999999999995</v>
      </c>
      <c r="G17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Foti</dc:creator>
  <cp:lastModifiedBy>Jan Havlíček</cp:lastModifiedBy>
  <dcterms:created xsi:type="dcterms:W3CDTF">1999-10-04T18:25:53Z</dcterms:created>
  <dcterms:modified xsi:type="dcterms:W3CDTF">2023-09-12T04:27:43Z</dcterms:modified>
</cp:coreProperties>
</file>