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29F80E4-0384-45EA-9A42-9987B7564EE8}" xr6:coauthVersionLast="47" xr6:coauthVersionMax="47" xr10:uidLastSave="{00000000-0000-0000-0000-000000000000}"/>
  <bookViews>
    <workbookView xWindow="-120" yWindow="-120" windowWidth="23280" windowHeight="1320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3" i="2"/>
  <c r="AE73" i="2"/>
  <c r="AF73" i="2"/>
  <c r="AD74" i="2"/>
  <c r="AE74" i="2"/>
  <c r="AF74" i="2"/>
  <c r="AD76" i="2"/>
  <c r="AE76" i="2"/>
  <c r="AF76" i="2"/>
  <c r="AD77" i="2"/>
  <c r="AE77" i="2"/>
  <c r="AF77" i="2"/>
  <c r="AD79" i="2"/>
  <c r="AE79" i="2"/>
  <c r="AF79" i="2"/>
  <c r="AD80" i="2"/>
  <c r="AE80" i="2"/>
  <c r="AF80" i="2"/>
  <c r="AD81" i="2"/>
  <c r="AE81" i="2"/>
  <c r="AF81" i="2"/>
  <c r="AD82" i="2"/>
  <c r="AE82" i="2"/>
  <c r="AF82" i="2"/>
  <c r="AD83" i="2"/>
  <c r="AE83" i="2"/>
  <c r="AF83" i="2"/>
  <c r="AD85" i="2"/>
  <c r="AE85" i="2"/>
  <c r="AD86" i="2"/>
  <c r="AE86" i="2"/>
  <c r="AF86" i="2"/>
  <c r="AD87" i="2"/>
  <c r="AE87" i="2"/>
  <c r="AF87" i="2"/>
  <c r="AD88" i="2"/>
  <c r="AE88" i="2"/>
  <c r="AF88" i="2"/>
  <c r="AD89" i="2"/>
  <c r="AE89" i="2"/>
  <c r="AF89" i="2"/>
  <c r="AD90" i="2"/>
  <c r="AE90" i="2"/>
  <c r="AD92" i="2"/>
  <c r="AE92" i="2"/>
  <c r="AF92" i="2"/>
  <c r="AD93" i="2"/>
  <c r="AE93" i="2"/>
  <c r="AF93" i="2"/>
  <c r="AD101" i="2"/>
  <c r="AE101" i="2"/>
  <c r="AD102" i="2"/>
  <c r="AE102" i="2"/>
  <c r="AD106" i="2"/>
  <c r="AE106"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<sst xmlns="http://schemas.openxmlformats.org/spreadsheetml/2006/main" count="763" uniqueCount="402">
  <si>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</si>
  <si>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</si>
  <si>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</si>
  <si>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</si>
  <si>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</si>
  <si>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</si>
  <si>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</si>
  <si>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</si>
  <si>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</si>
  <si>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</si>
  <si>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</si>
  <si>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</si>
  <si>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</si>
  <si>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</si>
  <si>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</si>
  <si>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</si>
  <si>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</si>
  <si>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</si>
  <si>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</si>
  <si>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</si>
  <si>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</si>
  <si>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</si>
  <si>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</si>
  <si>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</si>
  <si>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</si>
  <si>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</si>
  <si>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</si>
  <si>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</si>
  <si>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</si>
  <si>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</si>
  <si>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</si>
  <si>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</si>
  <si>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</si>
  <si>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</si>
  <si>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</si>
  <si>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</si>
  <si>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</si>
  <si>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</si>
  <si>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</si>
  <si>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</si>
  <si>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</si>
  <si>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</si>
  <si>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</si>
  <si>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</si>
  <si>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</si>
  <si>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</si>
  <si>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</si>
  <si>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</si>
  <si>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</si>
  <si>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</si>
  <si>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</si>
  <si>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</si>
  <si>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</si>
  <si>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</si>
  <si>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</si>
  <si>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</si>
  <si>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</si>
  <si>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</si>
  <si>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</si>
  <si>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</si>
  <si>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</si>
  <si>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</si>
  <si>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</si>
  <si>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</si>
  <si>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</si>
  <si>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</si>
  <si>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</si>
  <si>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</si>
  <si>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</si>
  <si>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</si>
  <si>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</si>
  <si>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</si>
  <si>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</si>
  <si>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</si>
  <si>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</si>
  <si>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</si>
  <si>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</si>
  <si>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</si>
  <si>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</si>
  <si>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</si>
  <si>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</si>
  <si>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</si>
  <si>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</si>
  <si>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</si>
  <si>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</si>
  <si>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</si>
  <si>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</si>
  <si>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</si>
  <si>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</si>
  <si>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</si>
  <si>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</si>
  <si>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</si>
  <si>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</si>
  <si>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</si>
  <si>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</si>
  <si>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</si>
  <si>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</si>
  <si>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</si>
  <si>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</si>
  <si>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</si>
  <si>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</si>
  <si>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</si>
  <si>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</si>
  <si>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</si>
  <si>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</si>
  <si>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</si>
  <si>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</si>
  <si>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</si>
  <si>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</si>
  <si>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</si>
  <si>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</si>
  <si>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</si>
  <si>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</si>
  <si>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</si>
  <si>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</si>
  <si>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</si>
  <si>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</si>
  <si>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</si>
  <si>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</si>
  <si>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</si>
  <si>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</si>
  <si>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</si>
  <si>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</si>
  <si>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</si>
  <si>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</si>
  <si>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</si>
  <si>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</si>
  <si>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</si>
  <si>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</si>
  <si>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</si>
  <si>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</si>
  <si>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</si>
  <si>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</si>
  <si>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</si>
  <si>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</si>
  <si>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</si>
  <si>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</si>
  <si>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</si>
  <si>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</si>
  <si>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</si>
  <si>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</si>
  <si>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</si>
  <si>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</si>
  <si>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</si>
  <si>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</si>
  <si>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</si>
  <si>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</si>
  <si>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</si>
  <si>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</si>
  <si>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</si>
  <si>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</si>
  <si>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</si>
  <si>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</si>
  <si>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</si>
  <si>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</si>
  <si>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</si>
  <si>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</si>
  <si>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</si>
  <si>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</si>
  <si>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</si>
  <si>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</si>
  <si>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</si>
  <si>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</si>
  <si>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</si>
  <si>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</si>
  <si>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</si>
  <si>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</si>
  <si>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</si>
  <si>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</si>
  <si>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</si>
  <si>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</si>
  <si>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</si>
  <si>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</si>
  <si>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</si>
  <si>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</si>
  <si>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</si>
  <si>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</si>
  <si>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</si>
  <si>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</si>
  <si>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</si>
  <si>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</si>
  <si>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</si>
  <si>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</si>
  <si>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</si>
  <si>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</si>
  <si>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</si>
  <si>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</si>
  <si>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</si>
  <si>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</si>
  <si>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</si>
  <si>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</si>
  <si>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</si>
  <si>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</si>
  <si>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</si>
  <si>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</si>
  <si>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</si>
  <si>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</si>
  <si>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</si>
  <si>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</si>
  <si>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</si>
  <si>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</si>
  <si>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</si>
  <si>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</si>
  <si>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</si>
  <si>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</si>
  <si>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</si>
  <si>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</si>
  <si>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</si>
  <si>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</si>
  <si>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</si>
  <si>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</si>
  <si>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</si>
  <si>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</si>
  <si>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</si>
  <si>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</si>
  <si>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</si>
  <si>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</si>
  <si>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</si>
  <si>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</si>
  <si>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</si>
  <si>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</si>
  <si>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</si>
  <si>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</si>
  <si>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</si>
  <si>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</si>
  <si>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</si>
  <si>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</si>
  <si>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</si>
  <si>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</si>
  <si>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</si>
  <si>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</si>
  <si>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</si>
  <si>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</si>
  <si>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</si>
  <si>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</si>
  <si>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</si>
  <si>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</si>
  <si>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</si>
  <si>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</si>
  <si>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</si>
  <si>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</si>
  <si>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</si>
  <si>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</si>
  <si>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</si>
  <si>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</si>
  <si>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</si>
  <si>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</si>
  <si>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</si>
  <si>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</si>
  <si>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</si>
  <si>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</si>
  <si>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</si>
  <si>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</si>
  <si>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</si>
  <si>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</si>
  <si>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</si>
  <si>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</si>
  <si>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</si>
  <si>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</si>
  <si>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</si>
  <si>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</si>
  <si>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</si>
  <si>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</si>
  <si>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</si>
  <si>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</si>
  <si>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</si>
  <si>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</si>
  <si>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</si>
  <si>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</si>
  <si>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</si>
  <si>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</si>
  <si>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</si>
  <si>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</si>
  <si>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</si>
  <si>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</si>
  <si>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</si>
  <si>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</si>
  <si>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</si>
  <si>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</si>
  <si>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</si>
  <si>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</si>
  <si>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</si>
  <si>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</si>
  <si>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</si>
  <si>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</si>
  <si>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</si>
  <si>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</si>
  <si>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</si>
  <si>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</si>
  <si>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</si>
  <si>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</si>
  <si>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</si>
  <si>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</si>
  <si>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</si>
  <si>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</si>
  <si>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</si>
  <si>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</si>
  <si>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</si>
  <si>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</si>
  <si>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</si>
  <si>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</si>
  <si>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</si>
  <si>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</si>
  <si>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</si>
  <si>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</si>
  <si>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</si>
  <si>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</si>
  <si>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</si>
  <si>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</si>
  <si>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</si>
  <si>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</si>
  <si>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</si>
  <si>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</si>
  <si>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</si>
  <si>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</si>
  <si>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</si>
  <si>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</si>
  <si>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</si>
  <si>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</si>
  <si>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</si>
  <si>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</si>
  <si>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</si>
  <si>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</si>
  <si>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</si>
  <si>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</si>
  <si>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</si>
  <si>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</si>
  <si>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</si>
  <si>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</si>
  <si>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</si>
  <si>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</si>
  <si>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</si>
  <si>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</si>
  <si>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</si>
  <si>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</si>
  <si>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</si>
  <si>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</si>
  <si>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</si>
  <si>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</si>
  <si>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</si>
  <si>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</si>
  <si>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</si>
  <si>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</si>
  <si>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</si>
  <si>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</si>
  <si>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</si>
  <si>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</si>
  <si>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</si>
  <si>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</si>
  <si>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</si>
  <si>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</si>
  <si>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</si>
  <si>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</si>
  <si>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</si>
  <si>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</si>
  <si>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</si>
  <si>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</si>
  <si>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</si>
  <si>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</si>
  <si>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</si>
  <si>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</si>
  <si>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</si>
  <si>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</si>
  <si>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</si>
  <si>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</si>
  <si>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</si>
  <si>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</si>
  <si>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</si>
  <si>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</si>
  <si>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</si>
  <si>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</si>
  <si>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</si>
  <si>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</si>
  <si>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</si>
  <si>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</si>
  <si>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</si>
  <si>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</si>
  <si>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</si>
  <si>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</si>
  <si>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</si>
  <si>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</si>
  <si>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NEWMAN 4 ,UNAV,  0  ,215  , 86  ,214  ,  0  ,1</t>
  </si>
  <si>
    <t>Mirant (bookout)</t>
  </si>
  <si>
    <t>SPS (bookout)</t>
  </si>
  <si>
    <t>ISO</t>
  </si>
  <si>
    <t>`12</t>
  </si>
  <si>
    <t>IPCO</t>
  </si>
  <si>
    <t>Firm</t>
  </si>
  <si>
    <t>PGT     ,LOSS    ,LC,  ,  -1,  -2</t>
  </si>
  <si>
    <t>FOURCRNRS,MANL, 52  , 52  , 52  ,104  ,  0  ,1</t>
  </si>
  <si>
    <t>RIOGRAN 8,MANL, 59  ,105  , 60  ,151  ,  0  ,1</t>
  </si>
  <si>
    <t xml:space="preserve">RIOGRANDE,,  59 ,  105,   60, 151 ,   0 , </t>
  </si>
  <si>
    <t>APS     ,FIRM    ,FC,  ,  25,  25</t>
  </si>
  <si>
    <t>APS     ,FIRM    ,PV,  ,  25,  25</t>
  </si>
  <si>
    <t>IID     ,FIRM    ,PV,  ,  84,  84</t>
  </si>
  <si>
    <t>PNM     ,FIRM    ,FC,  ,  30,   0</t>
  </si>
  <si>
    <t>SPS     ,FIRM    ,ED,  ,-130,-100</t>
  </si>
  <si>
    <t>NEWMAN 2 ,ECON, 35  , 65  , 34  , 83  , 31  ,1</t>
  </si>
  <si>
    <t>NEWMAN 3 ,ECON, 36  ,100  , 35  ,103  , 40  ,1</t>
  </si>
  <si>
    <t>NM/GT2+ST,ECON, 87  ,100  , 66  ,107  , 13  ,1</t>
  </si>
  <si>
    <t xml:space="preserve">NEWMAN   ,, 158 ,  265,  135, 293 ,  84 , </t>
  </si>
  <si>
    <t>LAMBDA, 14.98,  706,  704,  128,    5,    0,11890,0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</si>
</sst>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
      <name val="Arial"/>
      <family val="2"/>
    </font>
    <font>
      <sz val="11"/>
      <color indexed="8"/>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71" fillId="2" borderId="92" xfId="0" applyFont="1" applyFill="1" applyBorder="1" applyAlignment="1"/>
    <xf numFmtId="170" fontId="4" fillId="4" borderId="68" xfId="0" applyNumberFormat="1" applyFont="1" applyFill="1" applyBorder="1" applyAlignment="1">
      <alignment wrapText="1"/>
    </xf>
    <xf numFmtId="0" fontId="4" fillId="14" borderId="59" xfId="0" applyFont="1" applyFill="1" applyBorder="1" applyAlignment="1">
      <alignment wrapText="1"/>
    </xf>
    <xf numFmtId="0" fontId="64" fillId="14" borderId="3" xfId="0" applyFont="1" applyFill="1" applyBorder="1" applyAlignment="1">
      <alignment wrapText="1"/>
    </xf>
    <xf numFmtId="43" fontId="31" fillId="14" borderId="59" xfId="0" applyNumberFormat="1" applyFont="1" applyFill="1" applyBorder="1" applyAlignment="1">
      <alignment wrapText="1"/>
    </xf>
    <xf numFmtId="0" fontId="72" fillId="2" borderId="3" xfId="0" applyFont="1" applyFill="1" applyBorder="1" applyAlignment="1"/>
    <xf numFmtId="0" fontId="73" fillId="2" borderId="3"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9583666-4578-F50C-703E-CB3B8C95D5E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DFE7A90A-D885-E32F-7606-AE83EE1E7A5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2E60BECF-D72C-979E-1007-F5744F91F6B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733ECCB-9CA0-E33C-0D36-D48D407FD03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9E516BA8-C13E-0311-6F8A-D3E5A35B19E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96</xdr:row>
      <xdr:rowOff>114300</xdr:rowOff>
    </xdr:from>
    <xdr:to>
      <xdr:col>22</xdr:col>
      <xdr:colOff>123825</xdr:colOff>
      <xdr:row>105</xdr:row>
      <xdr:rowOff>95250</xdr:rowOff>
    </xdr:to>
    <xdr:sp macro="" textlink="">
      <xdr:nvSpPr>
        <xdr:cNvPr id="2303" name="Text Box 255">
          <a:extLst>
            <a:ext uri="{FF2B5EF4-FFF2-40B4-BE49-F238E27FC236}">
              <a16:creationId xmlns:a16="http://schemas.microsoft.com/office/drawing/2014/main" id="{728C8CBA-7323-47D4-C6DE-F0895B4B9A79}"/>
            </a:ext>
          </a:extLst>
        </xdr:cNvPr>
        <xdr:cNvSpPr txBox="1">
          <a:spLocks noChangeArrowheads="1"/>
        </xdr:cNvSpPr>
      </xdr:nvSpPr>
      <xdr:spPr bwMode="auto">
        <a:xfrm>
          <a:off x="171450" y="8115300"/>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600" b="0" i="0" u="none" strike="noStrike" baseline="0">
              <a:solidFill>
                <a:srgbClr val="000000"/>
              </a:solidFill>
              <a:latin typeface="Arial"/>
              <a:cs typeface="Arial"/>
            </a:rPr>
            <a:t>A reminder, we have a 53 MW call on the Eddy tie from SPS, if we need to, this power can be scheduled with a 90 minute notice.  Call if there is any questions at 4181 or 5808.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112</xdr:row>
      <xdr:rowOff>0</xdr:rowOff>
    </xdr:from>
    <xdr:to>
      <xdr:col>22</xdr:col>
      <xdr:colOff>66675</xdr:colOff>
      <xdr:row>118</xdr:row>
      <xdr:rowOff>47625</xdr:rowOff>
    </xdr:to>
    <xdr:sp macro="" textlink="">
      <xdr:nvSpPr>
        <xdr:cNvPr id="10463" name="Text Box 1247">
          <a:extLst>
            <a:ext uri="{FF2B5EF4-FFF2-40B4-BE49-F238E27FC236}">
              <a16:creationId xmlns:a16="http://schemas.microsoft.com/office/drawing/2014/main" id="{4373061A-C900-3624-8A00-010B1856E905}"/>
            </a:ext>
          </a:extLst>
        </xdr:cNvPr>
        <xdr:cNvSpPr txBox="1">
          <a:spLocks noChangeArrowheads="1"/>
        </xdr:cNvSpPr>
      </xdr:nvSpPr>
      <xdr:spPr bwMode="auto">
        <a:xfrm>
          <a:off x="209550" y="10791825"/>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B7BDB0D-75EE-9B5D-BAEF-3F974D852A8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6" activePane="bottomLeft" state="frozen"/>
      <selection activeCell="O4" sqref="O4:AC4"/>
      <selection pane="bottomLeft" activeCell="W53" sqref="W53"/>
    </sheetView>
  </sheetViews>
  <sheetFormatPr defaultRowHeight="12.75" x14ac:dyDescent="0.2"/>
  <cols>
    <col min="1" max="1" width="23.140625" style="172"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3" customWidth="1"/>
    <col min="28" max="28" width="9.140625" style="159"/>
    <col min="29" max="29" width="12.85546875" style="159" customWidth="1"/>
    <col min="30" max="16384" width="9.140625" style="159"/>
  </cols>
  <sheetData>
    <row r="1" spans="1:213" ht="15.75" customHeight="1" thickBot="1" x14ac:dyDescent="0.3">
      <c r="A1" s="627">
        <v>37292</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
      <c r="A2" s="491"/>
      <c r="B2" s="491" t="s">
        <v>379</v>
      </c>
      <c r="C2" s="491" t="s">
        <v>379</v>
      </c>
      <c r="D2" s="491" t="s">
        <v>379</v>
      </c>
      <c r="E2" s="491" t="s">
        <v>379</v>
      </c>
      <c r="F2" s="491" t="s">
        <v>379</v>
      </c>
      <c r="G2" s="491" t="s">
        <v>379</v>
      </c>
      <c r="H2" s="491" t="s">
        <v>379</v>
      </c>
      <c r="I2" s="491" t="s">
        <v>379</v>
      </c>
      <c r="J2" s="491" t="s">
        <v>379</v>
      </c>
      <c r="K2" s="491" t="s">
        <v>379</v>
      </c>
      <c r="L2" s="491" t="s">
        <v>379</v>
      </c>
      <c r="M2" s="491" t="s">
        <v>379</v>
      </c>
      <c r="N2" s="491" t="s">
        <v>379</v>
      </c>
      <c r="O2" s="491" t="s">
        <v>379</v>
      </c>
      <c r="P2" s="491" t="s">
        <v>379</v>
      </c>
      <c r="Q2" s="491" t="s">
        <v>379</v>
      </c>
      <c r="R2" s="491" t="s">
        <v>379</v>
      </c>
      <c r="S2" s="491" t="s">
        <v>379</v>
      </c>
      <c r="T2" s="491" t="s">
        <v>379</v>
      </c>
      <c r="U2" s="491" t="s">
        <v>379</v>
      </c>
      <c r="V2" s="491" t="s">
        <v>379</v>
      </c>
      <c r="W2" s="491" t="s">
        <v>379</v>
      </c>
      <c r="X2" s="491" t="s">
        <v>379</v>
      </c>
      <c r="Y2" s="700" t="s">
        <v>379</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5" thickBot="1" x14ac:dyDescent="0.25">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
      <c r="A4" s="699" t="s">
        <v>294</v>
      </c>
      <c r="B4" s="517">
        <v>639</v>
      </c>
      <c r="C4" s="517">
        <v>619</v>
      </c>
      <c r="D4" s="517">
        <v>594</v>
      </c>
      <c r="E4" s="517">
        <v>600</v>
      </c>
      <c r="F4" s="517">
        <v>611</v>
      </c>
      <c r="G4" s="517">
        <v>641</v>
      </c>
      <c r="H4" s="517">
        <v>713</v>
      </c>
      <c r="I4" s="517">
        <v>817</v>
      </c>
      <c r="J4" s="517">
        <v>843</v>
      </c>
      <c r="K4" s="517">
        <v>844</v>
      </c>
      <c r="L4" s="517">
        <v>856</v>
      </c>
      <c r="M4" s="517">
        <v>842</v>
      </c>
      <c r="N4" s="517">
        <v>810</v>
      </c>
      <c r="O4" s="517">
        <v>804</v>
      </c>
      <c r="P4" s="517">
        <v>789</v>
      </c>
      <c r="Q4" s="517">
        <v>780</v>
      </c>
      <c r="R4" s="517">
        <v>802</v>
      </c>
      <c r="S4" s="517">
        <v>843</v>
      </c>
      <c r="T4" s="517">
        <v>911</v>
      </c>
      <c r="U4" s="517">
        <v>907</v>
      </c>
      <c r="V4" s="517">
        <v>898</v>
      </c>
      <c r="W4" s="517">
        <v>870</v>
      </c>
      <c r="X4" s="518">
        <v>776</v>
      </c>
      <c r="Y4" s="518">
        <v>704</v>
      </c>
      <c r="Z4" s="353"/>
      <c r="AA4" s="353"/>
      <c r="AB4" s="353"/>
      <c r="AC4" s="353"/>
      <c r="AD4" s="353"/>
    </row>
    <row r="5" spans="1:213" s="161" customFormat="1" thickBot="1" x14ac:dyDescent="0.25">
      <c r="A5" s="701" t="s">
        <v>64</v>
      </c>
      <c r="B5" s="702">
        <f>Deals!F4</f>
        <v>55</v>
      </c>
      <c r="C5" s="702">
        <f>Deals!G4</f>
        <v>55</v>
      </c>
      <c r="D5" s="702">
        <f>Deals!H4</f>
        <v>55</v>
      </c>
      <c r="E5" s="702">
        <f>Deals!I4</f>
        <v>55</v>
      </c>
      <c r="F5" s="702">
        <f>Deals!J4</f>
        <v>55</v>
      </c>
      <c r="G5" s="702">
        <f>Deals!K4</f>
        <v>60</v>
      </c>
      <c r="H5" s="702">
        <f>Deals!L4</f>
        <v>70</v>
      </c>
      <c r="I5" s="702">
        <f>Deals!M4</f>
        <v>75</v>
      </c>
      <c r="J5" s="702">
        <f>Deals!N4</f>
        <v>75</v>
      </c>
      <c r="K5" s="702">
        <f>Deals!O4</f>
        <v>75</v>
      </c>
      <c r="L5" s="702">
        <f>Deals!P4</f>
        <v>75</v>
      </c>
      <c r="M5" s="702">
        <f>Deals!Q4</f>
        <v>75</v>
      </c>
      <c r="N5" s="702">
        <f>Deals!R4</f>
        <v>75</v>
      </c>
      <c r="O5" s="702">
        <f>Deals!S4</f>
        <v>75</v>
      </c>
      <c r="P5" s="702">
        <f>Deals!T4</f>
        <v>70</v>
      </c>
      <c r="Q5" s="702">
        <f>Deals!U4</f>
        <v>70</v>
      </c>
      <c r="R5" s="702">
        <f>Deals!V4</f>
        <v>70</v>
      </c>
      <c r="S5" s="702">
        <f>Deals!W4</f>
        <v>75</v>
      </c>
      <c r="T5" s="702">
        <f>Deals!X4</f>
        <v>75</v>
      </c>
      <c r="U5" s="702">
        <f>Deals!Y4</f>
        <v>75</v>
      </c>
      <c r="V5" s="702">
        <f>Deals!Z4</f>
        <v>75</v>
      </c>
      <c r="W5" s="702">
        <f>Deals!AA4</f>
        <v>75</v>
      </c>
      <c r="X5" s="702">
        <f>Deals!AB4</f>
        <v>65</v>
      </c>
      <c r="Y5" s="703">
        <f>Deals!AC4</f>
        <v>60</v>
      </c>
      <c r="Z5" s="160"/>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2"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2"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2"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-25</v>
      </c>
      <c r="K10" s="196">
        <f t="array" aca="1" ref="K10" ca="1">SUM(IF((DelPoint= "4C")*IF((DType = "firm")+(DType = "econ")&gt;0,1,0)*(OFFSET(DelPoint,0,K3+2)&lt;0),OFFSET(DelPoint,0,K3+2),0))</f>
        <v>0</v>
      </c>
      <c r="L10" s="196">
        <f t="array" aca="1" ref="L10" ca="1">SUM(IF((DelPoint= "4C")*IF((DType = "firm")+(DType = "econ")&gt;0,1,0)*(OFFSET(DelPoint,0,L3+2)&lt;0),OFFSET(DelPoint,0,L3+2),0))</f>
        <v>0</v>
      </c>
      <c r="M10" s="196">
        <f t="array" aca="1" ref="M10" ca="1">SUM(IF((DelPoint= "4C")*IF((DType = "firm")+(DType = "econ")&gt;0,1,0)*(OFFSET(DelPoint,0,M3+2)&lt;0),OFFSET(DelPoint,0,M3+2),0))</f>
        <v>0</v>
      </c>
      <c r="N10" s="196">
        <f t="array" aca="1" ref="N10" ca="1">SUM(IF((DelPoint= "4C")*IF((DType = "firm")+(DType = "econ")&gt;0,1,0)*(OFFSET(DelPoint,0,N3+2)&lt;0),OFFSET(DelPoint,0,N3+2),0))</f>
        <v>0</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0</v>
      </c>
      <c r="U10" s="196">
        <f t="array" aca="1" ref="U10" ca="1">SUM(IF((DelPoint= "4C")*IF((DType = "firm")+(DType = "econ")&gt;0,1,0)*(OFFSET(DelPoint,0,U3+2)&lt;0),OFFSET(DelPoint,0,U3+2),0))</f>
        <v>0</v>
      </c>
      <c r="V10" s="196">
        <f t="array" aca="1" ref="V10" ca="1">SUM(IF((DelPoint= "4C")*IF((DType = "firm")+(DType = "econ")&gt;0,1,0)*(OFFSET(DelPoint,0,V3+2)&lt;0),OFFSET(DelPoint,0,V3+2),0))</f>
        <v>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2"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-75</v>
      </c>
      <c r="J11" s="197">
        <f t="array" aca="1" ref="J11" ca="1">SUM(IF((DelPoint= "PV")*(DType = "pre")*(OFFSET(DelPoint,0,J3+2)&lt;0),OFFSET(DelPoint,0,J3+2),0))</f>
        <v>-75</v>
      </c>
      <c r="K11" s="197">
        <f t="array" aca="1" ref="K11" ca="1">SUM(IF((DelPoint= "PV")*(DType = "pre")*(OFFSET(DelPoint,0,K3+2)&lt;0),OFFSET(DelPoint,0,K3+2),0))</f>
        <v>-75</v>
      </c>
      <c r="L11" s="197">
        <f t="array" aca="1" ref="L11" ca="1">SUM(IF((DelPoint= "PV")*(DType = "pre")*(OFFSET(DelPoint,0,L3+2)&lt;0),OFFSET(DelPoint,0,L3+2),0))</f>
        <v>-75</v>
      </c>
      <c r="M11" s="197">
        <f t="array" aca="1" ref="M11" ca="1">SUM(IF((DelPoint= "PV")*(DType = "pre")*(OFFSET(DelPoint,0,M3+2)&lt;0),OFFSET(DelPoint,0,M3+2),0))</f>
        <v>-75</v>
      </c>
      <c r="N11" s="197">
        <f t="array" aca="1" ref="N11" ca="1">SUM(IF((DelPoint= "PV")*(DType = "pre")*(OFFSET(DelPoint,0,N3+2)&lt;0),OFFSET(DelPoint,0,N3+2),0))</f>
        <v>-75</v>
      </c>
      <c r="O11" s="197">
        <f t="array" aca="1" ref="O11" ca="1">SUM(IF((DelPoint= "PV")*(DType = "pre")*(OFFSET(DelPoint,0,O3+2)&lt;0),OFFSET(DelPoint,0,O3+2),0))</f>
        <v>-75</v>
      </c>
      <c r="P11" s="197">
        <f t="array" aca="1" ref="P11" ca="1">SUM(IF((DelPoint= "PV")*(DType = "pre")*(OFFSET(DelPoint,0,P3+2)&lt;0),OFFSET(DelPoint,0,P3+2),0))</f>
        <v>-75</v>
      </c>
      <c r="Q11" s="197">
        <f t="array" aca="1" ref="Q11" ca="1">SUM(IF((DelPoint= "PV")*(DType = "pre")*(OFFSET(DelPoint,0,Q3+2)&lt;0),OFFSET(DelPoint,0,Q3+2),0))</f>
        <v>-75</v>
      </c>
      <c r="R11" s="197">
        <f t="array" aca="1" ref="R11" ca="1">SUM(IF((DelPoint= "PV")*(DType = "pre")*(OFFSET(DelPoint,0,R3+2)&lt;0),OFFSET(DelPoint,0,R3+2),0))</f>
        <v>-75</v>
      </c>
      <c r="S11" s="197">
        <f t="array" aca="1" ref="S11" ca="1">SUM(IF((DelPoint= "PV")*(DType = "pre")*(OFFSET(DelPoint,0,S3+2)&lt;0),OFFSET(DelPoint,0,S3+2),0))</f>
        <v>-75</v>
      </c>
      <c r="T11" s="197">
        <f t="array" aca="1" ref="T11" ca="1">SUM(IF((DelPoint= "PV")*(DType = "pre")*(OFFSET(DelPoint,0,T3+2)&lt;0),OFFSET(DelPoint,0,T3+2),0))</f>
        <v>-75</v>
      </c>
      <c r="U11" s="197">
        <f t="array" aca="1" ref="U11" ca="1">SUM(IF((DelPoint= "PV")*(DType = "pre")*(OFFSET(DelPoint,0,U3+2)&lt;0),OFFSET(DelPoint,0,U3+2),0))</f>
        <v>-75</v>
      </c>
      <c r="V11" s="197">
        <f t="array" aca="1" ref="V11" ca="1">SUM(IF((DelPoint= "PV")*(DType = "pre")*(OFFSET(DelPoint,0,V3+2)&lt;0),OFFSET(DelPoint,0,V3+2),0))</f>
        <v>-75</v>
      </c>
      <c r="W11" s="197">
        <f t="array" aca="1" ref="W11" ca="1">SUM(IF((DelPoint= "PV")*(DType = "pre")*(OFFSET(DelPoint,0,W3+2)&lt;0),OFFSET(DelPoint,0,W3+2),0))</f>
        <v>-75</v>
      </c>
      <c r="X11" s="197">
        <f t="array" aca="1" ref="X11" ca="1">SUM(IF((DelPoint= "PV")*(DType = "pre")*(OFFSET(DelPoint,0,X3+2)&lt;0),OFFSET(DelPoint,0,X3+2),0))</f>
        <v>-75</v>
      </c>
      <c r="Y11" s="664">
        <f t="array" aca="1" ref="Y11" ca="1">SUM(IF((DelPoint= "PV")*(DType = "pre")*(OFFSET(DelPoint,0,Y3+2)&lt;0),OFFSET(DelPoint,0,Y3+2),0))</f>
        <v>0</v>
      </c>
      <c r="Z11" s="160"/>
      <c r="AA11" s="162"/>
    </row>
    <row r="12" spans="1:213" s="161" customFormat="1" ht="12"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2"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2"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0</v>
      </c>
      <c r="J14" s="198">
        <f t="array" aca="1" ref="J14" ca="1">SUM(IF((DelPoint= "PV")*IF((DType = "firm")+(DType = "econ")&gt;0,1,0)*(OFFSET(DelPoint,0,J3+2)&lt;0),OFFSET(DelPoint,0,J3+2),0))</f>
        <v>0</v>
      </c>
      <c r="K14" s="198">
        <f t="array" aca="1" ref="K14" ca="1">SUM(IF((DelPoint= "PV")*IF((DType = "firm")+(DType = "econ")&gt;0,1,0)*(OFFSET(DelPoint,0,K3+2)&lt;0),OFFSET(DelPoint,0,K3+2),0))</f>
        <v>0</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-25</v>
      </c>
      <c r="V14" s="198">
        <f t="array" aca="1" ref="V14" ca="1">SUM(IF((DelPoint= "PV")*IF((DType = "firm")+(DType = "econ")&gt;0,1,0)*(OFFSET(DelPoint,0,V3+2)&lt;0),OFFSET(DelPoint,0,V3+2),0))</f>
        <v>-25</v>
      </c>
      <c r="W14" s="198">
        <f t="array" aca="1" ref="W14" ca="1">SUM(IF((DelPoint= "PV")*IF((DType = "firm")+(DType = "econ")&gt;0,1,0)*(OFFSET(DelPoint,0,W3+2)&lt;0),OFFSET(DelPoint,0,W3+2),0))</f>
        <v>-25</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2"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2"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2" x14ac:dyDescent="0.2">
      <c r="A17" s="574" t="s">
        <v>266</v>
      </c>
      <c r="B17" s="482">
        <f>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0</v>
      </c>
      <c r="T17" s="482">
        <f>Deals!X5</f>
        <v>0</v>
      </c>
      <c r="U17" s="482">
        <f>Deals!Y5</f>
        <v>0</v>
      </c>
      <c r="V17" s="482">
        <f>Deals!Z5</f>
        <v>0</v>
      </c>
      <c r="W17" s="482">
        <f>Deals!AA5</f>
        <v>0</v>
      </c>
      <c r="X17" s="482">
        <f>Deals!AB5</f>
        <v>0</v>
      </c>
      <c r="Y17" s="485">
        <f>Deals!AC5</f>
        <v>0</v>
      </c>
      <c r="Z17" s="160"/>
      <c r="AA17" s="162"/>
    </row>
    <row r="18" spans="1:27" s="161" customFormat="1" ht="12" x14ac:dyDescent="0.2">
      <c r="A18" s="575" t="s">
        <v>247</v>
      </c>
      <c r="B18" s="482">
        <f>Deals!F7</f>
        <v>0</v>
      </c>
      <c r="C18" s="482">
        <f>Deals!G7</f>
        <v>-100</v>
      </c>
      <c r="D18" s="482">
        <f>Deals!H7</f>
        <v>-100</v>
      </c>
      <c r="E18" s="482">
        <f>Deals!I7</f>
        <v>-100</v>
      </c>
      <c r="F18" s="482">
        <f>Deals!J7</f>
        <v>-130</v>
      </c>
      <c r="G18" s="482">
        <f>Deals!K7</f>
        <v>-130</v>
      </c>
      <c r="H18" s="482">
        <f>Deals!L7</f>
        <v>-130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-130</v>
      </c>
      <c r="Z18" s="160"/>
      <c r="AA18" s="162"/>
    </row>
    <row r="19" spans="1:27" s="161" customFormat="1" ht="12"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84</v>
      </c>
      <c r="C22" s="417">
        <f>Deals!G3</f>
        <v>84</v>
      </c>
      <c r="D22" s="417">
        <f>Deals!H3</f>
        <v>75</v>
      </c>
      <c r="E22" s="417">
        <f>Deals!I3</f>
        <v>75</v>
      </c>
      <c r="F22" s="417">
        <f>Deals!J3</f>
        <v>75</v>
      </c>
      <c r="G22" s="417">
        <f>Deals!K3</f>
        <v>75</v>
      </c>
      <c r="H22" s="417">
        <f>Deals!L3</f>
        <v>84</v>
      </c>
      <c r="I22" s="417">
        <f>Deals!M3</f>
        <v>108</v>
      </c>
      <c r="J22" s="417">
        <f>Deals!N3</f>
        <v>108</v>
      </c>
      <c r="K22" s="417">
        <f>Deals!O3</f>
        <v>108</v>
      </c>
      <c r="L22" s="417">
        <f>Deals!P3</f>
        <v>108</v>
      </c>
      <c r="M22" s="417">
        <f>Deals!Q3</f>
        <v>108</v>
      </c>
      <c r="N22" s="417">
        <f>Deals!R3</f>
        <v>108</v>
      </c>
      <c r="O22" s="417">
        <f>Deals!S3</f>
        <v>108</v>
      </c>
      <c r="P22" s="417">
        <f>Deals!T3</f>
        <v>100</v>
      </c>
      <c r="Q22" s="417">
        <f>Deals!U3</f>
        <v>100</v>
      </c>
      <c r="R22" s="417">
        <f>Deals!V3</f>
        <v>100</v>
      </c>
      <c r="S22" s="417">
        <f>Deals!W3</f>
        <v>100</v>
      </c>
      <c r="T22" s="417">
        <f>Deals!X3</f>
        <v>100</v>
      </c>
      <c r="U22" s="417">
        <f>Deals!Y3</f>
        <v>108</v>
      </c>
      <c r="V22" s="417">
        <f>Deals!Z3</f>
        <v>108</v>
      </c>
      <c r="W22" s="417">
        <f>Deals!AA3</f>
        <v>108</v>
      </c>
      <c r="X22" s="417">
        <f>Deals!AB3</f>
        <v>108</v>
      </c>
      <c r="Y22" s="506">
        <f>Deals!AC3</f>
        <v>84</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2" x14ac:dyDescent="0.2">
      <c r="A25" s="496" t="s">
        <v>114</v>
      </c>
      <c r="B25" s="657">
        <f t="array" aca="1" ref="B25" ca="1">SUM(IF((DelPoint= "4C")*(DType = "pre")*(OFFSET(DelPoint,0,B3+2)&gt;0),OFFSET(DelPoint,0,B3+2),0))</f>
        <v>25</v>
      </c>
      <c r="C25" s="657">
        <f t="array" aca="1" ref="C25" ca="1">SUM(IF((DelPoint= "4C")*(DType = "pre")*(OFFSET(DelPoint,0,C3+2)&gt;0),OFFSET(DelPoint,0,C3+2),0))</f>
        <v>25</v>
      </c>
      <c r="D25" s="657">
        <f t="array" aca="1" ref="D25" ca="1">SUM(IF((DelPoint= "4C")*(DType = "pre")*(OFFSET(DelPoint,0,D3+2)&gt;0),OFFSET(DelPoint,0,D3+2),0))</f>
        <v>25</v>
      </c>
      <c r="E25" s="657">
        <f t="array" aca="1" ref="E25" ca="1">SUM(IF((DelPoint= "4C")*(DType = "pre")*(OFFSET(DelPoint,0,E3+2)&gt;0),OFFSET(DelPoint,0,E3+2),0))</f>
        <v>25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30</v>
      </c>
      <c r="J25" s="657">
        <f t="array" aca="1" ref="J25" ca="1">SUM(IF((DelPoint= "4C")*(DType = "pre")*(OFFSET(DelPoint,0,J3+2)&gt;0),OFFSET(DelPoint,0,J3+2),0))</f>
        <v>30</v>
      </c>
      <c r="K25" s="657">
        <f t="array" aca="1" ref="K25" ca="1">SUM(IF((DelPoint= "4C")*(DType = "pre")*(OFFSET(DelPoint,0,K3+2)&gt;0),OFFSET(DelPoint,0,K3+2),0))</f>
        <v>30</v>
      </c>
      <c r="L25" s="657">
        <f t="array" aca="1" ref="L25" ca="1">SUM(IF((DelPoint= "4C")*(DType = "pre")*(OFFSET(DelPoint,0,L3+2)&gt;0),OFFSET(DelPoint,0,L3+2),0))</f>
        <v>30</v>
      </c>
      <c r="M25" s="657">
        <f t="array" aca="1" ref="M25" ca="1">SUM(IF((DelPoint= "4C")*(DType = "pre")*(OFFSET(DelPoint,0,M3+2)&gt;0),OFFSET(DelPoint,0,M3+2),0))</f>
        <v>30</v>
      </c>
      <c r="N25" s="657">
        <f t="array" aca="1" ref="N25" ca="1">SUM(IF((DelPoint= "4C")*(DType = "pre")*(OFFSET(DelPoint,0,N3+2)&gt;0),OFFSET(DelPoint,0,N3+2),0))</f>
        <v>30</v>
      </c>
      <c r="O25" s="657">
        <f t="array" aca="1" ref="O25" ca="1">SUM(IF((DelPoint= "4C")*(DType = "pre")*(OFFSET(DelPoint,0,O3+2)&gt;0),OFFSET(DelPoint,0,O3+2),0))</f>
        <v>30</v>
      </c>
      <c r="P25" s="657">
        <f t="array" aca="1" ref="P25" ca="1">SUM(IF((DelPoint= "4C")*(DType = "pre")*(OFFSET(DelPoint,0,P3+2)&gt;0),OFFSET(DelPoint,0,P3+2),0))</f>
        <v>30</v>
      </c>
      <c r="Q25" s="657">
        <f t="array" aca="1" ref="Q25" ca="1">SUM(IF((DelPoint= "4C")*(DType = "pre")*(OFFSET(DelPoint,0,Q3+2)&gt;0),OFFSET(DelPoint,0,Q3+2),0))</f>
        <v>30</v>
      </c>
      <c r="R25" s="657">
        <f t="array" aca="1" ref="R25" ca="1">SUM(IF((DelPoint= "4C")*(DType = "pre")*(OFFSET(DelPoint,0,R3+2)&gt;0),OFFSET(DelPoint,0,R3+2),0))</f>
        <v>30</v>
      </c>
      <c r="S25" s="657">
        <f t="array" aca="1" ref="S25" ca="1">SUM(IF((DelPoint= "4C")*(DType = "pre")*(OFFSET(DelPoint,0,S3+2)&gt;0),OFFSET(DelPoint,0,S3+2),0))</f>
        <v>30</v>
      </c>
      <c r="T25" s="657">
        <f t="array" aca="1" ref="T25" ca="1">SUM(IF((DelPoint= "4C")*(DType = "pre")*(OFFSET(DelPoint,0,T3+2)&gt;0),OFFSET(DelPoint,0,T3+2),0))</f>
        <v>30</v>
      </c>
      <c r="U25" s="657">
        <f t="array" aca="1" ref="U25" ca="1">SUM(IF((DelPoint= "4C")*(DType = "pre")*(OFFSET(DelPoint,0,U3+2)&gt;0),OFFSET(DelPoint,0,U3+2),0))</f>
        <v>30</v>
      </c>
      <c r="V25" s="657">
        <f t="array" aca="1" ref="V25" ca="1">SUM(IF((DelPoint= "4C")*(DType = "pre")*(OFFSET(DelPoint,0,V3+2)&gt;0),OFFSET(DelPoint,0,V3+2),0))</f>
        <v>30</v>
      </c>
      <c r="W25" s="657">
        <f t="array" aca="1" ref="W25" ca="1">SUM(IF((DelPoint= "4C")*(DType = "pre")*(OFFSET(DelPoint,0,W3+2)&gt;0),OFFSET(DelPoint,0,W3+2),0))</f>
        <v>30</v>
      </c>
      <c r="X25" s="657">
        <f t="array" aca="1" ref="X25" ca="1">SUM(IF((DelPoint= "4C")*(DType = "pre")*(OFFSET(DelPoint,0,X3+2)&gt;0),OFFSET(DelPoint,0,X3+2),0))</f>
        <v>30</v>
      </c>
      <c r="Y25" s="668">
        <f t="array" aca="1" ref="Y25" ca="1">SUM(IF((DelPoint= "4C")*(DType = "pre")*(OFFSET(DelPoint,0,Y3+2)&gt;0),OFFSET(DelPoint,0,Y3+2),0))</f>
        <v>55</v>
      </c>
      <c r="Z25" s="160"/>
      <c r="AA25" s="162"/>
    </row>
    <row r="26" spans="1:27" s="161" customFormat="1" ht="12"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2"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2"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0</v>
      </c>
      <c r="G28" s="204">
        <f t="array" aca="1" ref="G28" ca="1">SUM(IF((DelPoint= "4C")*IF((DType = "firm")+(DType = "econ")&gt;0,1,0)*(OFFSET(DelPoint,0,G3+2)&gt;0),OFFSET(DelPoint,0,G3+2),0))</f>
        <v>0</v>
      </c>
      <c r="H28" s="204">
        <f t="array" aca="1" ref="H28" ca="1">SUM(IF((DelPoint= "4C")*IF((DType = "firm")+(DType = "econ")&gt;0,1,0)*(OFFSET(DelPoint,0,H3+2)&gt;0),OFFSET(DelPoint,0,H3+2),0))</f>
        <v>0</v>
      </c>
      <c r="I28" s="204">
        <f t="array" aca="1" ref="I28" ca="1">SUM(IF((DelPoint= "4C")*IF((DType = "firm")+(DType = "econ")&gt;0,1,0)*(OFFSET(DelPoint,0,I3+2)&gt;0),OFFSET(DelPoint,0,I3+2),0))</f>
        <v>0</v>
      </c>
      <c r="J28" s="204">
        <f t="array" aca="1" ref="J28" ca="1">SUM(IF((DelPoint= "4C")*IF((DType = "firm")+(DType = "econ")&gt;0,1,0)*(OFFSET(DelPoint,0,J3+2)&gt;0),OFFSET(DelPoint,0,J3+2),0))</f>
        <v>0</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498" t="s">
        <v>117</v>
      </c>
      <c r="B29" s="636">
        <f t="array" aca="1" ref="B29" ca="1">SUM(IF((DelPoint= "pv")*(DType = "pre")*(OFFSET(DelPoint,0,B3+2)&gt;0),OFFSET(DelPoint,0,B3+2),0))</f>
        <v>0</v>
      </c>
      <c r="C29" s="636">
        <f t="array" aca="1" ref="C29" ca="1">SUM(IF((DelPoint= "pv")*(DType = "pre")*(OFFSET(DelPoint,0,C3+2)&gt;0),OFFSET(DelPoint,0,C3+2),0))</f>
        <v>100</v>
      </c>
      <c r="D29" s="636">
        <f t="array" aca="1" ref="D29" ca="1">SUM(IF((DelPoint= "pv")*(DType = "pre")*(OFFSET(DelPoint,0,D3+2)&gt;0),OFFSET(DelPoint,0,D3+2),0))</f>
        <v>100</v>
      </c>
      <c r="E29" s="636">
        <f t="array" aca="1" ref="E29" ca="1">SUM(IF((DelPoint= "pv")*(DType = "pre")*(OFFSET(DelPoint,0,E3+2)&gt;0),OFFSET(DelPoint,0,E3+2),0))</f>
        <v>100</v>
      </c>
      <c r="F29" s="636">
        <f t="array" aca="1" ref="F29" ca="1">SUM(IF((DelPoint= "pv")*(DType = "pre")*(OFFSET(DelPoint,0,F3+2)&gt;0),OFFSET(DelPoint,0,F3+2),0))</f>
        <v>100</v>
      </c>
      <c r="G29" s="636">
        <f t="array" aca="1" ref="G29" ca="1">SUM(IF((DelPoint= "pv")*(DType = "pre")*(OFFSET(DelPoint,0,G3+2)&gt;0),OFFSET(DelPoint,0,G3+2),0))</f>
        <v>100</v>
      </c>
      <c r="H29" s="636">
        <f t="array" aca="1" ref="H29" ca="1">SUM(IF((DelPoint= "pv")*(DType = "pre")*(OFFSET(DelPoint,0,H3+2)&gt;0),OFFSET(DelPoint,0,H3+2),0))</f>
        <v>100</v>
      </c>
      <c r="I29" s="636">
        <f t="array" aca="1" ref="I29" ca="1">SUM(IF((DelPoint= "pv")*(DType = "pre")*(OFFSET(DelPoint,0,I3+2)&gt;0),OFFSET(DelPoint,0,I3+2),0))</f>
        <v>50</v>
      </c>
      <c r="J29" s="636">
        <f t="array" aca="1" ref="J29" ca="1">SUM(IF((DelPoint= "pv")*(DType = "pre")*(OFFSET(DelPoint,0,J3+2)&gt;0),OFFSET(DelPoint,0,J3+2),0))</f>
        <v>50</v>
      </c>
      <c r="K29" s="636">
        <f t="array" aca="1" ref="K29" ca="1">SUM(IF((DelPoint= "pv")*(DType = "pre")*(OFFSET(DelPoint,0,K3+2)&gt;0),OFFSET(DelPoint,0,K3+2),0))</f>
        <v>50</v>
      </c>
      <c r="L29" s="636">
        <f t="array" aca="1" ref="L29" ca="1">SUM(IF((DelPoint= "pv")*(DType = "pre")*(OFFSET(DelPoint,0,L3+2)&gt;0),OFFSET(DelPoint,0,L3+2),0))</f>
        <v>50</v>
      </c>
      <c r="M29" s="636">
        <f t="array" aca="1" ref="M29" ca="1">SUM(IF((DelPoint= "pv")*(DType = "pre")*(OFFSET(DelPoint,0,M3+2)&gt;0),OFFSET(DelPoint,0,M3+2),0))</f>
        <v>50</v>
      </c>
      <c r="N29" s="636">
        <f t="array" aca="1" ref="N29" ca="1">SUM(IF((DelPoint= "pv")*(DType = "pre")*(OFFSET(DelPoint,0,N3+2)&gt;0),OFFSET(DelPoint,0,N3+2),0))</f>
        <v>50</v>
      </c>
      <c r="O29" s="636">
        <f t="array" aca="1" ref="O29" ca="1">SUM(IF((DelPoint= "pv")*(DType = "pre")*(OFFSET(DelPoint,0,O3+2)&gt;0),OFFSET(DelPoint,0,O3+2),0))</f>
        <v>50</v>
      </c>
      <c r="P29" s="636">
        <f t="array" aca="1" ref="P29" ca="1">SUM(IF((DelPoint= "pv")*(DType = "pre")*(OFFSET(DelPoint,0,P3+2)&gt;0),OFFSET(DelPoint,0,P3+2),0))</f>
        <v>50</v>
      </c>
      <c r="Q29" s="636">
        <f t="array" aca="1" ref="Q29" ca="1">SUM(IF((DelPoint= "pv")*(DType = "pre")*(OFFSET(DelPoint,0,Q3+2)&gt;0),OFFSET(DelPoint,0,Q3+2),0))</f>
        <v>50</v>
      </c>
      <c r="R29" s="636">
        <f t="array" aca="1" ref="R29" ca="1">SUM(IF((DelPoint= "pv")*(DType = "pre")*(OFFSET(DelPoint,0,R3+2)&gt;0),OFFSET(DelPoint,0,R3+2),0))</f>
        <v>50</v>
      </c>
      <c r="S29" s="636">
        <f t="array" aca="1" ref="S29" ca="1">SUM(IF((DelPoint= "pv")*(DType = "pre")*(OFFSET(DelPoint,0,S3+2)&gt;0),OFFSET(DelPoint,0,S3+2),0))</f>
        <v>50</v>
      </c>
      <c r="T29" s="636">
        <f t="array" aca="1" ref="T29" ca="1">SUM(IF((DelPoint= "pv")*(DType = "pre")*(OFFSET(DelPoint,0,T3+2)&gt;0),OFFSET(DelPoint,0,T3+2),0))</f>
        <v>50</v>
      </c>
      <c r="U29" s="636">
        <f t="array" aca="1" ref="U29" ca="1">SUM(IF((DelPoint= "pv")*(DType = "pre")*(OFFSET(DelPoint,0,U3+2)&gt;0),OFFSET(DelPoint,0,U3+2),0))</f>
        <v>50</v>
      </c>
      <c r="V29" s="636">
        <f t="array" aca="1" ref="V29" ca="1">SUM(IF((DelPoint= "pv")*(DType = "pre")*(OFFSET(DelPoint,0,V3+2)&gt;0),OFFSET(DelPoint,0,V3+2),0))</f>
        <v>50</v>
      </c>
      <c r="W29" s="636">
        <f t="array" aca="1" ref="W29" ca="1">SUM(IF((DelPoint= "pv")*(DType = "pre")*(OFFSET(DelPoint,0,W3+2)&gt;0),OFFSET(DelPoint,0,W3+2),0))</f>
        <v>50</v>
      </c>
      <c r="X29" s="636">
        <f t="array" aca="1" ref="X29" ca="1">SUM(IF((DelPoint= "pv")*(DType = "pre")*(OFFSET(DelPoint,0,X3+2)&gt;0),OFFSET(DelPoint,0,X3+2),0))</f>
        <v>50</v>
      </c>
      <c r="Y29" s="669">
        <f t="array" aca="1" ref="Y29" ca="1">SUM(IF((DelPoint= "pv")*(DType = "pre")*(OFFSET(DelPoint,0,Y3+2)&gt;0),OFFSET(DelPoint,0,Y3+2),0))</f>
        <v>100</v>
      </c>
      <c r="Z29" s="160"/>
      <c r="AA29" s="162"/>
    </row>
    <row r="30" spans="1:27" s="161" customFormat="1" ht="12"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2"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2" x14ac:dyDescent="0.2">
      <c r="A32" s="499" t="s">
        <v>119</v>
      </c>
      <c r="B32" s="581">
        <f t="array" aca="1" ref="B32" ca="1">SUM(IF((DelPoint= "PV")*IF((DType = "firm")+(DType = "econ")&gt;0,1,0)*(OFFSET(DelPoint,0,B3+2)&gt;0),OFFSET(DelPoint,0,B3+2),0))</f>
        <v>0</v>
      </c>
      <c r="C32" s="581">
        <f t="array" aca="1" ref="C32" ca="1">SUM(IF((DelPoint= "PV")*IF((DType = "firm")+(DType = "econ")&gt;0,1,0)*(OFFSET(DelPoint,0,C3+2)&gt;0),OFFSET(DelPoint,0,C3+2),0))</f>
        <v>0</v>
      </c>
      <c r="D32" s="581">
        <f t="array" aca="1" ref="D32" ca="1">SUM(IF((DelPoint= "PV")*IF((DType = "firm")+(DType = "econ")&gt;0,1,0)*(OFFSET(DelPoint,0,D3+2)&gt;0),OFFSET(DelPoint,0,D3+2),0))</f>
        <v>0</v>
      </c>
      <c r="E32" s="581">
        <f t="array" aca="1" ref="E32" ca="1">SUM(IF((DelPoint= "PV")*IF((DType = "firm")+(DType = "econ")&gt;0,1,0)*(OFFSET(DelPoint,0,E3+2)&gt;0),OFFSET(DelPoint,0,E3+2),0))</f>
        <v>0</v>
      </c>
      <c r="F32" s="581">
        <f t="array" aca="1" ref="F32" ca="1">SUM(IF((DelPoint= "PV")*IF((DType = "firm")+(DType = "econ")&gt;0,1,0)*(OFFSET(DelPoint,0,F3+2)&gt;0),OFFSET(DelPoint,0,F3+2),0))</f>
        <v>0</v>
      </c>
      <c r="G32" s="581">
        <f t="array" aca="1" ref="G32" ca="1">SUM(IF((DelPoint= "PV")*IF((DType = "firm")+(DType = "econ")&gt;0,1,0)*(OFFSET(DelPoint,0,G3+2)&gt;0),OFFSET(DelPoint,0,G3+2),0))</f>
        <v>0</v>
      </c>
      <c r="H32" s="581">
        <f t="array" aca="1" ref="H32" ca="1">SUM(IF((DelPoint= "PV")*IF((DType = "firm")+(DType = "econ")&gt;0,1,0)*(OFFSET(DelPoint,0,H3+2)&gt;0),OFFSET(DelPoint,0,H3+2),0))</f>
        <v>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2"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2"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2"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thickBot="1" x14ac:dyDescent="0.25">
      <c r="A38" s="672" t="s">
        <v>121</v>
      </c>
      <c r="B38" s="673">
        <f t="shared" ref="B38:Y38" ca="1" si="4">SUM(B22:B37)+B4+B5</f>
        <v>803</v>
      </c>
      <c r="C38" s="673">
        <f t="shared" ca="1" si="4"/>
        <v>883</v>
      </c>
      <c r="D38" s="673">
        <f t="shared" ca="1" si="4"/>
        <v>849</v>
      </c>
      <c r="E38" s="673">
        <f t="shared" ca="1" si="4"/>
        <v>855</v>
      </c>
      <c r="F38" s="673">
        <f t="shared" ca="1" si="4"/>
        <v>896</v>
      </c>
      <c r="G38" s="673">
        <f t="shared" ca="1" si="4"/>
        <v>931</v>
      </c>
      <c r="H38" s="673">
        <f t="shared" ca="1" si="4"/>
        <v>1022</v>
      </c>
      <c r="I38" s="673">
        <f t="shared" ca="1" si="4"/>
        <v>1080</v>
      </c>
      <c r="J38" s="673">
        <f t="shared" ca="1" si="4"/>
        <v>1106</v>
      </c>
      <c r="K38" s="673">
        <f t="shared" ca="1" si="4"/>
        <v>1107</v>
      </c>
      <c r="L38" s="673">
        <f t="shared" ca="1" si="4"/>
        <v>1119</v>
      </c>
      <c r="M38" s="673">
        <f t="shared" ca="1" si="4"/>
        <v>1105</v>
      </c>
      <c r="N38" s="673">
        <f t="shared" ca="1" si="4"/>
        <v>1073</v>
      </c>
      <c r="O38" s="673">
        <f t="shared" ca="1" si="4"/>
        <v>1067</v>
      </c>
      <c r="P38" s="673">
        <f t="shared" ca="1" si="4"/>
        <v>1039</v>
      </c>
      <c r="Q38" s="673">
        <f t="shared" ca="1" si="4"/>
        <v>1030</v>
      </c>
      <c r="R38" s="673">
        <f t="shared" ca="1" si="4"/>
        <v>1052</v>
      </c>
      <c r="S38" s="673">
        <f t="shared" ca="1" si="4"/>
        <v>1098</v>
      </c>
      <c r="T38" s="673">
        <f t="shared" ca="1" si="4"/>
        <v>1166</v>
      </c>
      <c r="U38" s="673">
        <f t="shared" ca="1" si="4"/>
        <v>1170</v>
      </c>
      <c r="V38" s="673">
        <f t="shared" ca="1" si="4"/>
        <v>1161</v>
      </c>
      <c r="W38" s="673">
        <f t="shared" ca="1" si="4"/>
        <v>1133</v>
      </c>
      <c r="X38" s="673">
        <f t="shared" ca="1" si="4"/>
        <v>1029</v>
      </c>
      <c r="Y38" s="674">
        <f t="shared" ca="1" si="4"/>
        <v>1003</v>
      </c>
      <c r="Z38" s="347"/>
      <c r="AA38" s="162"/>
    </row>
    <row r="39" spans="1:33" s="161" customFormat="1" ht="16.5" thickBot="1" x14ac:dyDescent="0.25">
      <c r="A39" s="694" t="s">
        <v>260</v>
      </c>
      <c r="B39" s="695"/>
      <c r="C39" s="696"/>
      <c r="D39" s="696"/>
      <c r="E39" s="697"/>
      <c r="F39" s="696"/>
      <c r="G39" s="696"/>
      <c r="H39" s="696"/>
      <c r="I39" s="696"/>
      <c r="J39" s="696"/>
      <c r="K39" s="696"/>
      <c r="L39" s="696"/>
      <c r="M39" s="696"/>
      <c r="N39" s="696"/>
      <c r="O39" s="696"/>
      <c r="P39" s="696"/>
      <c r="Q39" s="696"/>
      <c r="R39" s="696"/>
      <c r="S39" s="696"/>
      <c r="T39" s="696"/>
      <c r="U39" s="696"/>
      <c r="V39" s="696"/>
      <c r="W39" s="696"/>
      <c r="X39" s="696"/>
      <c r="Y39" s="698"/>
      <c r="Z39" s="160"/>
      <c r="AA39" s="162"/>
    </row>
    <row r="40" spans="1:33" s="161" customFormat="1" ht="13.5" thickTop="1" thickBot="1" x14ac:dyDescent="0.25">
      <c r="A40" s="704"/>
      <c r="B40" s="705"/>
      <c r="C40" s="706"/>
      <c r="D40" s="706"/>
      <c r="E40" s="707"/>
      <c r="F40" s="706"/>
      <c r="G40" s="706"/>
      <c r="H40" s="706"/>
      <c r="I40" s="706"/>
      <c r="J40" s="706"/>
      <c r="K40" s="706"/>
      <c r="L40" s="706"/>
      <c r="M40" s="706"/>
      <c r="N40" s="706"/>
      <c r="O40" s="706"/>
      <c r="P40" s="706"/>
      <c r="Q40" s="706"/>
      <c r="R40" s="706"/>
      <c r="S40" s="706"/>
      <c r="T40" s="706"/>
      <c r="U40" s="706"/>
      <c r="V40" s="706"/>
      <c r="W40" s="706"/>
      <c r="X40" s="706"/>
      <c r="Y40" s="708"/>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f ca="1">-Economics!D34/Economics!I34</f>
        <v>0</v>
      </c>
    </row>
    <row r="42" spans="1:33" s="161" customFormat="1" ht="15" customHeight="1" x14ac:dyDescent="0.2">
      <c r="A42" s="589" t="s">
        <v>130</v>
      </c>
      <c r="B42" s="591">
        <v>34</v>
      </c>
      <c r="C42" s="591">
        <v>34</v>
      </c>
      <c r="D42" s="592">
        <v>34</v>
      </c>
      <c r="E42" s="592">
        <v>34</v>
      </c>
      <c r="F42" s="591">
        <v>35</v>
      </c>
      <c r="G42" s="591">
        <v>33</v>
      </c>
      <c r="H42" s="591">
        <v>55</v>
      </c>
      <c r="I42" s="591">
        <v>34</v>
      </c>
      <c r="J42" s="591">
        <v>38</v>
      </c>
      <c r="K42" s="591">
        <v>35</v>
      </c>
      <c r="L42" s="591">
        <v>66</v>
      </c>
      <c r="M42" s="591">
        <v>37</v>
      </c>
      <c r="N42" s="591">
        <v>35</v>
      </c>
      <c r="O42" s="591">
        <v>35</v>
      </c>
      <c r="P42" s="591">
        <v>34</v>
      </c>
      <c r="Q42" s="591">
        <v>31</v>
      </c>
      <c r="R42" s="591">
        <v>31</v>
      </c>
      <c r="S42" s="591">
        <v>41</v>
      </c>
      <c r="T42" s="591">
        <v>34</v>
      </c>
      <c r="U42" s="591">
        <v>34</v>
      </c>
      <c r="V42" s="591">
        <v>35</v>
      </c>
      <c r="W42" s="591">
        <v>38</v>
      </c>
      <c r="X42" s="591">
        <v>34</v>
      </c>
      <c r="Y42" s="593">
        <v>35</v>
      </c>
      <c r="Z42" s="349">
        <v>78</v>
      </c>
      <c r="AA42" s="209">
        <f ca="1">-Economics!D35/Economics!I35</f>
        <v>9574.8445471938776</v>
      </c>
    </row>
    <row r="43" spans="1:33" s="161" customFormat="1" ht="12.75" customHeight="1" x14ac:dyDescent="0.2">
      <c r="A43" s="590" t="s">
        <v>131</v>
      </c>
      <c r="B43" s="594">
        <v>36</v>
      </c>
      <c r="C43" s="594">
        <v>35</v>
      </c>
      <c r="D43" s="595">
        <v>35</v>
      </c>
      <c r="E43" s="595">
        <v>37</v>
      </c>
      <c r="F43" s="594">
        <v>42</v>
      </c>
      <c r="G43" s="594">
        <v>84</v>
      </c>
      <c r="H43" s="594">
        <v>99</v>
      </c>
      <c r="I43" s="594">
        <v>65</v>
      </c>
      <c r="J43" s="594">
        <v>36</v>
      </c>
      <c r="K43" s="594">
        <v>58</v>
      </c>
      <c r="L43" s="594">
        <v>55</v>
      </c>
      <c r="M43" s="594">
        <v>70</v>
      </c>
      <c r="N43" s="594">
        <v>50</v>
      </c>
      <c r="O43" s="594">
        <v>36</v>
      </c>
      <c r="P43" s="594">
        <v>35</v>
      </c>
      <c r="Q43" s="594">
        <v>35</v>
      </c>
      <c r="R43" s="594">
        <v>45</v>
      </c>
      <c r="S43" s="594">
        <v>35</v>
      </c>
      <c r="T43" s="594">
        <v>90</v>
      </c>
      <c r="U43" s="594">
        <v>64</v>
      </c>
      <c r="V43" s="594">
        <v>56</v>
      </c>
      <c r="W43" s="594">
        <v>77</v>
      </c>
      <c r="X43" s="594">
        <v>34</v>
      </c>
      <c r="Y43" s="596">
        <v>36</v>
      </c>
      <c r="Z43" s="351">
        <v>103</v>
      </c>
      <c r="AA43" s="210">
        <f ca="1">-Economics!D36/Economics!I36</f>
        <v>13060.994300063776</v>
      </c>
    </row>
    <row r="44" spans="1:33" s="161" customFormat="1" ht="12.75" customHeight="1" x14ac:dyDescent="0.2">
      <c r="A44" s="589" t="s">
        <v>49</v>
      </c>
      <c r="B44" s="591">
        <v>0</v>
      </c>
      <c r="C44" s="591">
        <v>0</v>
      </c>
      <c r="D44" s="591">
        <v>0</v>
      </c>
      <c r="E44" s="591">
        <v>0</v>
      </c>
      <c r="F44" s="591">
        <v>0</v>
      </c>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c r="Y44" s="593">
        <v>0</v>
      </c>
      <c r="Z44" s="349">
        <v>40</v>
      </c>
      <c r="AA44" s="209">
        <f ca="1">-Economics!D37/Economics!I37</f>
        <v>0</v>
      </c>
    </row>
    <row r="45" spans="1:33" s="161" customFormat="1" ht="12.75" customHeight="1" x14ac:dyDescent="0.2">
      <c r="A45" s="589" t="s">
        <v>50</v>
      </c>
      <c r="B45" s="591">
        <v>20</v>
      </c>
      <c r="C45" s="591">
        <v>20</v>
      </c>
      <c r="D45" s="591">
        <v>20</v>
      </c>
      <c r="E45" s="591">
        <v>20</v>
      </c>
      <c r="F45" s="591">
        <v>20</v>
      </c>
      <c r="G45" s="591">
        <v>20</v>
      </c>
      <c r="H45" s="591">
        <v>20</v>
      </c>
      <c r="I45" s="591">
        <v>0</v>
      </c>
      <c r="J45" s="591">
        <v>0</v>
      </c>
      <c r="K45" s="591">
        <v>0</v>
      </c>
      <c r="L45" s="591">
        <v>0</v>
      </c>
      <c r="M45" s="591">
        <v>0</v>
      </c>
      <c r="N45" s="591">
        <v>0</v>
      </c>
      <c r="O45" s="591">
        <v>0</v>
      </c>
      <c r="P45" s="591">
        <v>0</v>
      </c>
      <c r="Q45" s="591">
        <v>0</v>
      </c>
      <c r="R45" s="591">
        <v>0</v>
      </c>
      <c r="S45" s="591">
        <v>0</v>
      </c>
      <c r="T45" s="591">
        <v>0</v>
      </c>
      <c r="U45" s="591">
        <v>0</v>
      </c>
      <c r="V45" s="591">
        <v>0</v>
      </c>
      <c r="W45" s="591">
        <v>0</v>
      </c>
      <c r="X45" s="591"/>
      <c r="Y45" s="593">
        <v>0</v>
      </c>
      <c r="Z45" s="349">
        <v>40</v>
      </c>
      <c r="AA45" s="209">
        <f ca="1">-Economics!D38/Economics!I38</f>
        <v>2423.6240931919642</v>
      </c>
    </row>
    <row r="46" spans="1:33" s="161" customFormat="1" ht="12.75" customHeight="1" x14ac:dyDescent="0.2">
      <c r="A46" s="711" t="s">
        <v>348</v>
      </c>
      <c r="B46" s="690">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f ca="1">-Economics!D39/Economics!I39</f>
        <v>0</v>
      </c>
    </row>
    <row r="47" spans="1:33" s="161" customFormat="1" ht="12.75" customHeight="1" x14ac:dyDescent="0.2">
      <c r="A47" s="589" t="s">
        <v>349</v>
      </c>
      <c r="B47" s="591">
        <v>0</v>
      </c>
      <c r="C47" s="591">
        <v>0</v>
      </c>
      <c r="D47" s="591">
        <v>0</v>
      </c>
      <c r="E47" s="591">
        <v>0</v>
      </c>
      <c r="F47" s="591">
        <v>0</v>
      </c>
      <c r="G47" s="591">
        <v>0</v>
      </c>
      <c r="H47" s="591">
        <v>0</v>
      </c>
      <c r="I47" s="591">
        <v>99</v>
      </c>
      <c r="J47" s="591">
        <v>95</v>
      </c>
      <c r="K47" s="591">
        <v>101</v>
      </c>
      <c r="L47" s="591">
        <v>100</v>
      </c>
      <c r="M47" s="591">
        <v>99</v>
      </c>
      <c r="N47" s="591">
        <v>99</v>
      </c>
      <c r="O47" s="591">
        <v>97</v>
      </c>
      <c r="P47" s="591">
        <v>71</v>
      </c>
      <c r="Q47" s="591">
        <v>69</v>
      </c>
      <c r="R47" s="591">
        <v>79</v>
      </c>
      <c r="S47" s="591">
        <v>68</v>
      </c>
      <c r="T47" s="591">
        <v>100</v>
      </c>
      <c r="U47" s="591">
        <v>100</v>
      </c>
      <c r="V47" s="591">
        <v>100</v>
      </c>
      <c r="W47" s="591">
        <v>101</v>
      </c>
      <c r="X47" s="591">
        <v>101</v>
      </c>
      <c r="Y47" s="591">
        <v>87</v>
      </c>
      <c r="Z47" s="349">
        <v>108</v>
      </c>
      <c r="AA47" s="209">
        <f ca="1">-Economics!D40/Economics!I40</f>
        <v>14773.32688934949</v>
      </c>
    </row>
    <row r="48" spans="1:33" s="161" customFormat="1" ht="12.75" customHeight="1" x14ac:dyDescent="0.2">
      <c r="A48" s="590" t="s">
        <v>132</v>
      </c>
      <c r="B48" s="594">
        <v>0</v>
      </c>
      <c r="C48" s="594">
        <v>0</v>
      </c>
      <c r="D48" s="594">
        <v>0</v>
      </c>
      <c r="E48" s="594">
        <v>0</v>
      </c>
      <c r="F48" s="594">
        <v>0</v>
      </c>
      <c r="G48" s="594">
        <v>0</v>
      </c>
      <c r="H48" s="594">
        <v>0</v>
      </c>
      <c r="I48" s="594">
        <v>0</v>
      </c>
      <c r="J48" s="594">
        <v>0</v>
      </c>
      <c r="K48" s="594">
        <v>0</v>
      </c>
      <c r="L48" s="594">
        <v>0</v>
      </c>
      <c r="M48" s="594">
        <v>0</v>
      </c>
      <c r="N48" s="594">
        <v>0</v>
      </c>
      <c r="O48" s="594">
        <v>0</v>
      </c>
      <c r="P48" s="594">
        <v>0</v>
      </c>
      <c r="Q48" s="594">
        <v>0</v>
      </c>
      <c r="R48" s="594">
        <v>0</v>
      </c>
      <c r="S48" s="594">
        <v>0</v>
      </c>
      <c r="T48" s="594">
        <v>0</v>
      </c>
      <c r="U48" s="594">
        <v>0</v>
      </c>
      <c r="V48" s="594">
        <v>0</v>
      </c>
      <c r="W48" s="594">
        <v>0</v>
      </c>
      <c r="X48" s="594"/>
      <c r="Y48" s="596">
        <v>0</v>
      </c>
      <c r="Z48" s="351">
        <v>212</v>
      </c>
      <c r="AA48" s="210">
        <f ca="1">-Economics!D41/Economics!I41</f>
        <v>0</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f ca="1">-Economics!D42/Economics!I42</f>
        <v>0</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f ca="1">-Economics!D43/Economics!I43</f>
        <v>0</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f ca="1">-Economics!D44/Economics!I44</f>
        <v>0</v>
      </c>
    </row>
    <row r="52" spans="1:27" s="161" customFormat="1" ht="12.75" customHeight="1" thickBot="1" x14ac:dyDescent="0.25">
      <c r="A52" s="589" t="s">
        <v>136</v>
      </c>
      <c r="B52" s="591">
        <v>59</v>
      </c>
      <c r="C52" s="591">
        <v>60</v>
      </c>
      <c r="D52" s="591">
        <v>59</v>
      </c>
      <c r="E52" s="591">
        <v>59</v>
      </c>
      <c r="F52" s="591">
        <v>59</v>
      </c>
      <c r="G52" s="591">
        <v>59</v>
      </c>
      <c r="H52" s="591">
        <v>60</v>
      </c>
      <c r="I52" s="591">
        <v>89</v>
      </c>
      <c r="J52" s="591">
        <v>99</v>
      </c>
      <c r="K52" s="591">
        <v>100</v>
      </c>
      <c r="L52" s="591">
        <v>85</v>
      </c>
      <c r="M52" s="591">
        <v>84</v>
      </c>
      <c r="N52" s="591">
        <v>84</v>
      </c>
      <c r="O52" s="591">
        <v>84</v>
      </c>
      <c r="P52" s="591">
        <v>89</v>
      </c>
      <c r="Q52" s="591">
        <v>84</v>
      </c>
      <c r="R52" s="591">
        <v>88</v>
      </c>
      <c r="S52" s="591">
        <v>85</v>
      </c>
      <c r="T52" s="591">
        <v>85</v>
      </c>
      <c r="U52" s="591">
        <v>84</v>
      </c>
      <c r="V52" s="591">
        <v>85</v>
      </c>
      <c r="W52" s="591">
        <v>73</v>
      </c>
      <c r="X52" s="591">
        <v>59</v>
      </c>
      <c r="Y52" s="591">
        <v>59</v>
      </c>
      <c r="Z52" s="352">
        <v>130</v>
      </c>
      <c r="AA52" s="211">
        <f ca="1">-Economics!D45/Economics!I45</f>
        <v>18646.263830741627</v>
      </c>
    </row>
    <row r="53" spans="1:27" s="161" customFormat="1" ht="12.75" customHeight="1" thickTop="1" x14ac:dyDescent="0.2">
      <c r="A53" s="589" t="s">
        <v>126</v>
      </c>
      <c r="B53" s="591">
        <v>201</v>
      </c>
      <c r="C53" s="591">
        <v>201</v>
      </c>
      <c r="D53" s="591">
        <v>201</v>
      </c>
      <c r="E53" s="591">
        <v>201</v>
      </c>
      <c r="F53" s="591">
        <v>201</v>
      </c>
      <c r="G53" s="591">
        <v>201</v>
      </c>
      <c r="H53" s="591">
        <v>201</v>
      </c>
      <c r="I53" s="591">
        <v>201</v>
      </c>
      <c r="J53" s="591">
        <v>201</v>
      </c>
      <c r="K53" s="591">
        <v>201</v>
      </c>
      <c r="L53" s="591">
        <v>201</v>
      </c>
      <c r="M53" s="591">
        <v>201</v>
      </c>
      <c r="N53" s="591">
        <v>201</v>
      </c>
      <c r="O53" s="591">
        <v>201</v>
      </c>
      <c r="P53" s="591">
        <v>201</v>
      </c>
      <c r="Q53" s="591">
        <v>200</v>
      </c>
      <c r="R53" s="591">
        <v>200</v>
      </c>
      <c r="S53" s="591">
        <v>201</v>
      </c>
      <c r="T53" s="591">
        <v>201</v>
      </c>
      <c r="U53" s="591">
        <v>201</v>
      </c>
      <c r="V53" s="591">
        <v>201</v>
      </c>
      <c r="W53" s="591">
        <v>201</v>
      </c>
      <c r="X53" s="591">
        <v>201</v>
      </c>
      <c r="Y53" s="593">
        <v>201</v>
      </c>
      <c r="Z53" s="349">
        <v>198</v>
      </c>
      <c r="AA53" s="207"/>
    </row>
    <row r="54" spans="1:27" s="161" customFormat="1" ht="12.75" customHeight="1" x14ac:dyDescent="0.2">
      <c r="A54" s="589" t="s">
        <v>127</v>
      </c>
      <c r="B54" s="591">
        <v>201</v>
      </c>
      <c r="C54" s="591">
        <v>201</v>
      </c>
      <c r="D54" s="591">
        <v>201</v>
      </c>
      <c r="E54" s="591">
        <v>201</v>
      </c>
      <c r="F54" s="591">
        <v>201</v>
      </c>
      <c r="G54" s="591">
        <v>201</v>
      </c>
      <c r="H54" s="591">
        <v>201</v>
      </c>
      <c r="I54" s="591">
        <v>201</v>
      </c>
      <c r="J54" s="591">
        <v>201</v>
      </c>
      <c r="K54" s="591">
        <v>201</v>
      </c>
      <c r="L54" s="591">
        <v>201</v>
      </c>
      <c r="M54" s="591">
        <v>201</v>
      </c>
      <c r="N54" s="591">
        <v>201</v>
      </c>
      <c r="O54" s="591">
        <v>201</v>
      </c>
      <c r="P54" s="591">
        <v>201</v>
      </c>
      <c r="Q54" s="591">
        <v>200</v>
      </c>
      <c r="R54" s="591">
        <v>200</v>
      </c>
      <c r="S54" s="591">
        <v>201</v>
      </c>
      <c r="T54" s="591">
        <v>201</v>
      </c>
      <c r="U54" s="591">
        <v>201</v>
      </c>
      <c r="V54" s="591">
        <v>201</v>
      </c>
      <c r="W54" s="591">
        <v>201</v>
      </c>
      <c r="X54" s="591">
        <v>201</v>
      </c>
      <c r="Y54" s="593">
        <v>201</v>
      </c>
      <c r="Z54" s="349">
        <v>198</v>
      </c>
      <c r="AA54" s="207"/>
    </row>
    <row r="55" spans="1:27" s="161" customFormat="1" ht="12.75" customHeight="1" x14ac:dyDescent="0.2">
      <c r="A55" s="589" t="s">
        <v>128</v>
      </c>
      <c r="B55" s="591">
        <v>201</v>
      </c>
      <c r="C55" s="591">
        <v>201</v>
      </c>
      <c r="D55" s="591">
        <v>201</v>
      </c>
      <c r="E55" s="591">
        <v>201</v>
      </c>
      <c r="F55" s="591">
        <v>201</v>
      </c>
      <c r="G55" s="591">
        <v>201</v>
      </c>
      <c r="H55" s="591">
        <v>201</v>
      </c>
      <c r="I55" s="591">
        <v>201</v>
      </c>
      <c r="J55" s="591">
        <v>201</v>
      </c>
      <c r="K55" s="591">
        <v>201</v>
      </c>
      <c r="L55" s="591">
        <v>201</v>
      </c>
      <c r="M55" s="591">
        <v>201</v>
      </c>
      <c r="N55" s="591">
        <v>201</v>
      </c>
      <c r="O55" s="591">
        <v>201</v>
      </c>
      <c r="P55" s="591">
        <v>201</v>
      </c>
      <c r="Q55" s="591">
        <v>200</v>
      </c>
      <c r="R55" s="591">
        <v>200</v>
      </c>
      <c r="S55" s="591">
        <v>201</v>
      </c>
      <c r="T55" s="591">
        <v>201</v>
      </c>
      <c r="U55" s="591">
        <v>201</v>
      </c>
      <c r="V55" s="591">
        <v>201</v>
      </c>
      <c r="W55" s="591">
        <v>201</v>
      </c>
      <c r="X55" s="591">
        <v>201</v>
      </c>
      <c r="Y55" s="593">
        <v>201</v>
      </c>
      <c r="Z55" s="349">
        <v>198</v>
      </c>
      <c r="AA55" s="207"/>
    </row>
    <row r="56" spans="1:27" s="161" customFormat="1" ht="12" customHeight="1" x14ac:dyDescent="0.2">
      <c r="A56" s="589" t="s">
        <v>124</v>
      </c>
      <c r="B56" s="591">
        <v>52</v>
      </c>
      <c r="C56" s="591">
        <v>38</v>
      </c>
      <c r="D56" s="591">
        <v>2</v>
      </c>
      <c r="E56" s="591">
        <v>2</v>
      </c>
      <c r="F56" s="591">
        <v>2</v>
      </c>
      <c r="G56" s="591">
        <v>2</v>
      </c>
      <c r="H56" s="591">
        <v>52</v>
      </c>
      <c r="I56" s="591">
        <v>52</v>
      </c>
      <c r="J56" s="591">
        <v>52</v>
      </c>
      <c r="K56" s="591">
        <v>52</v>
      </c>
      <c r="L56" s="591">
        <v>52</v>
      </c>
      <c r="M56" s="591">
        <v>52</v>
      </c>
      <c r="N56" s="591">
        <v>52</v>
      </c>
      <c r="O56" s="591">
        <v>52</v>
      </c>
      <c r="P56" s="591">
        <v>52</v>
      </c>
      <c r="Q56" s="591">
        <v>52</v>
      </c>
      <c r="R56" s="591">
        <v>52</v>
      </c>
      <c r="S56" s="591">
        <v>52</v>
      </c>
      <c r="T56" s="591">
        <v>52</v>
      </c>
      <c r="U56" s="591">
        <v>51</v>
      </c>
      <c r="V56" s="591">
        <v>52</v>
      </c>
      <c r="W56" s="591">
        <v>52</v>
      </c>
      <c r="X56" s="591">
        <v>52</v>
      </c>
      <c r="Y56" s="591">
        <v>52</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25">
      <c r="A58" s="691" t="s">
        <v>10</v>
      </c>
      <c r="B58" s="692">
        <f ca="1">B59-B38</f>
        <v>1</v>
      </c>
      <c r="C58" s="692">
        <f t="shared" ref="C58:I58" ca="1" si="5">C59-C38</f>
        <v>7</v>
      </c>
      <c r="D58" s="692">
        <f t="shared" ca="1" si="5"/>
        <v>4</v>
      </c>
      <c r="E58" s="692">
        <f t="shared" ca="1" si="5"/>
        <v>0</v>
      </c>
      <c r="F58" s="692">
        <f t="shared" ca="1" si="5"/>
        <v>-5</v>
      </c>
      <c r="G58" s="692">
        <f ca="1">G59-G38</f>
        <v>0</v>
      </c>
      <c r="H58" s="692">
        <f t="shared" ca="1" si="5"/>
        <v>-3</v>
      </c>
      <c r="I58" s="692">
        <f t="shared" ca="1" si="5"/>
        <v>17</v>
      </c>
      <c r="J58" s="692">
        <f t="shared" ref="J58:Y58" ca="1" si="6">J59-J38</f>
        <v>-3</v>
      </c>
      <c r="K58" s="692">
        <f t="shared" ca="1" si="6"/>
        <v>-3</v>
      </c>
      <c r="L58" s="692">
        <f t="shared" ca="1" si="6"/>
        <v>-3</v>
      </c>
      <c r="M58" s="692">
        <f t="shared" ca="1" si="6"/>
        <v>-5</v>
      </c>
      <c r="N58" s="692">
        <f t="shared" ca="1" si="6"/>
        <v>5</v>
      </c>
      <c r="O58" s="692">
        <f t="shared" ca="1" si="6"/>
        <v>-5</v>
      </c>
      <c r="P58" s="692">
        <f t="shared" ca="1" si="6"/>
        <v>0</v>
      </c>
      <c r="Q58" s="692">
        <f t="shared" ca="1" si="6"/>
        <v>-4</v>
      </c>
      <c r="R58" s="692">
        <f t="shared" ca="1" si="6"/>
        <v>-2</v>
      </c>
      <c r="S58" s="692">
        <f t="shared" ca="1" si="6"/>
        <v>-6</v>
      </c>
      <c r="T58" s="692">
        <f t="shared" ca="1" si="6"/>
        <v>6</v>
      </c>
      <c r="U58" s="692">
        <f t="shared" ca="1" si="6"/>
        <v>-1</v>
      </c>
      <c r="V58" s="692">
        <f t="shared" ca="1" si="6"/>
        <v>3</v>
      </c>
      <c r="W58" s="692">
        <f t="shared" ca="1" si="6"/>
        <v>-9</v>
      </c>
      <c r="X58" s="692">
        <f t="shared" ca="1" si="6"/>
        <v>9</v>
      </c>
      <c r="Y58" s="693">
        <f t="shared" ca="1" si="6"/>
        <v>-1</v>
      </c>
      <c r="Z58" s="350">
        <f>SUM(Z41:Z55)+Z41+Z42+Z43+Z48+Z49+Z50+Z51+Z52</f>
        <v>2416</v>
      </c>
      <c r="AA58" s="208">
        <f ca="1">SUM(AA41:AA55)</f>
        <v>58479.053660540732</v>
      </c>
    </row>
    <row r="59" spans="1:27" s="161" customFormat="1" ht="12" x14ac:dyDescent="0.2">
      <c r="A59" s="547">
        <v>0</v>
      </c>
      <c r="B59" s="548">
        <f t="shared" ref="B59:I59" ca="1" si="7">SUM(B41:B57)-SUM(B7:B20)</f>
        <v>804</v>
      </c>
      <c r="C59" s="548">
        <f ca="1">SUM(C41:C57)-SUM(C7:C20)</f>
        <v>890</v>
      </c>
      <c r="D59" s="548">
        <f t="shared" ca="1" si="7"/>
        <v>853</v>
      </c>
      <c r="E59" s="548">
        <f t="shared" ca="1" si="7"/>
        <v>855</v>
      </c>
      <c r="F59" s="548">
        <f t="shared" ca="1" si="7"/>
        <v>891</v>
      </c>
      <c r="G59" s="548">
        <f t="shared" ca="1" si="7"/>
        <v>931</v>
      </c>
      <c r="H59" s="548">
        <f t="shared" ca="1" si="7"/>
        <v>1019</v>
      </c>
      <c r="I59" s="548">
        <f t="shared" ca="1" si="7"/>
        <v>1097</v>
      </c>
      <c r="J59" s="548">
        <f t="shared" ref="J59:Y59" ca="1" si="8">SUM(J41:J57)-SUM(J7:J20)</f>
        <v>1103</v>
      </c>
      <c r="K59" s="548">
        <f t="shared" ca="1" si="8"/>
        <v>1104</v>
      </c>
      <c r="L59" s="548">
        <f t="shared" ca="1" si="8"/>
        <v>1116</v>
      </c>
      <c r="M59" s="548">
        <f t="shared" ca="1" si="8"/>
        <v>1100</v>
      </c>
      <c r="N59" s="548">
        <f t="shared" ca="1" si="8"/>
        <v>1078</v>
      </c>
      <c r="O59" s="548">
        <f t="shared" ca="1" si="8"/>
        <v>1062</v>
      </c>
      <c r="P59" s="548">
        <f t="shared" ca="1" si="8"/>
        <v>1039</v>
      </c>
      <c r="Q59" s="548">
        <f t="shared" ca="1" si="8"/>
        <v>1026</v>
      </c>
      <c r="R59" s="548">
        <f t="shared" ca="1" si="8"/>
        <v>1050</v>
      </c>
      <c r="S59" s="548">
        <f t="shared" ca="1" si="8"/>
        <v>1092</v>
      </c>
      <c r="T59" s="548">
        <f t="shared" ca="1" si="8"/>
        <v>1172</v>
      </c>
      <c r="U59" s="548">
        <f ca="1">SUM(U41:U57)-SUM(U7:U20)</f>
        <v>1169</v>
      </c>
      <c r="V59" s="548">
        <f t="shared" ca="1" si="8"/>
        <v>1164</v>
      </c>
      <c r="W59" s="548">
        <f t="shared" ca="1" si="8"/>
        <v>1124</v>
      </c>
      <c r="X59" s="548">
        <f t="shared" ca="1" si="8"/>
        <v>1038</v>
      </c>
      <c r="Y59" s="548">
        <f t="shared" ca="1" si="8"/>
        <v>1002</v>
      </c>
      <c r="Z59" s="212">
        <f ca="1">SUM(Economics!D28:D45)</f>
        <v>-218734.04651265626</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ht="13.5" thickTop="1" thickBot="1" x14ac:dyDescent="0.25">
      <c r="A61" s="192" t="s">
        <v>256</v>
      </c>
      <c r="B61" s="169">
        <f t="shared" ref="B61:Y61" ca="1" si="9">IF(-SUM(B18:B20,B35:B37)&gt;134,"err",-SUM(B18:B20,))</f>
        <v>0</v>
      </c>
      <c r="C61" s="169">
        <f t="shared" ca="1" si="9"/>
        <v>100</v>
      </c>
      <c r="D61" s="169">
        <f t="shared" ca="1" si="9"/>
        <v>100</v>
      </c>
      <c r="E61" s="169">
        <f ca="1">IF(-SUM(E18:E20,E35:E37)&gt;134,"err",-SUM(E18:E20,))</f>
        <v>100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130</v>
      </c>
      <c r="Z61" s="216" t="s">
        <v>138</v>
      </c>
      <c r="AA61" s="217" t="e">
        <f ca="1">AA59</f>
        <v>#N/A</v>
      </c>
    </row>
    <row r="62" spans="1:27" s="161" customFormat="1" ht="30" customHeight="1" thickTop="1" x14ac:dyDescent="0.2">
      <c r="A62" s="192" t="s">
        <v>139</v>
      </c>
      <c r="B62" s="169">
        <f t="shared" ref="B62:Y62" ca="1" si="10">-SUM(B11:B14,B29:B32,B22) + SUM(B53:B55)</f>
        <v>519</v>
      </c>
      <c r="C62" s="169">
        <f t="shared" ca="1" si="10"/>
        <v>419</v>
      </c>
      <c r="D62" s="169">
        <f t="shared" ca="1" si="10"/>
        <v>428</v>
      </c>
      <c r="E62" s="169">
        <f t="shared" ca="1" si="10"/>
        <v>428</v>
      </c>
      <c r="F62" s="169">
        <f t="shared" ca="1" si="10"/>
        <v>428</v>
      </c>
      <c r="G62" s="169">
        <f t="shared" ca="1" si="10"/>
        <v>428</v>
      </c>
      <c r="H62" s="169">
        <f t="shared" ca="1" si="10"/>
        <v>419</v>
      </c>
      <c r="I62" s="169">
        <f t="shared" ca="1" si="10"/>
        <v>520</v>
      </c>
      <c r="J62" s="169">
        <f t="shared" ca="1" si="10"/>
        <v>520</v>
      </c>
      <c r="K62" s="169">
        <f t="shared" ca="1" si="10"/>
        <v>520</v>
      </c>
      <c r="L62" s="169">
        <f t="shared" ca="1" si="10"/>
        <v>520</v>
      </c>
      <c r="M62" s="169">
        <f t="shared" ca="1" si="10"/>
        <v>520</v>
      </c>
      <c r="N62" s="169">
        <f t="shared" ca="1" si="10"/>
        <v>520</v>
      </c>
      <c r="O62" s="169">
        <f t="shared" ca="1" si="10"/>
        <v>520</v>
      </c>
      <c r="P62" s="169">
        <f t="shared" ca="1" si="10"/>
        <v>528</v>
      </c>
      <c r="Q62" s="169">
        <f t="shared" ca="1" si="10"/>
        <v>525</v>
      </c>
      <c r="R62" s="169">
        <f t="shared" ca="1" si="10"/>
        <v>525</v>
      </c>
      <c r="S62" s="169">
        <f t="shared" ca="1" si="10"/>
        <v>528</v>
      </c>
      <c r="T62" s="169">
        <f t="shared" ca="1" si="10"/>
        <v>528</v>
      </c>
      <c r="U62" s="169">
        <f t="shared" ca="1" si="10"/>
        <v>545</v>
      </c>
      <c r="V62" s="169">
        <f t="shared" ca="1" si="10"/>
        <v>545</v>
      </c>
      <c r="W62" s="169">
        <f t="shared" ca="1" si="10"/>
        <v>545</v>
      </c>
      <c r="X62" s="169">
        <f t="shared" ca="1" si="10"/>
        <v>520</v>
      </c>
      <c r="Y62" s="170">
        <f t="shared" ca="1" si="10"/>
        <v>419</v>
      </c>
      <c r="Z62" s="190"/>
      <c r="AA62" s="162"/>
    </row>
    <row r="63" spans="1:27" s="161" customFormat="1" ht="12" x14ac:dyDescent="0.2">
      <c r="A63" s="192" t="s">
        <v>140</v>
      </c>
      <c r="B63" s="169">
        <f t="shared" ref="B63:L63" ca="1" si="11">-SUM(B8:B10,B25:B28) + SUM(B56:B57)</f>
        <v>27</v>
      </c>
      <c r="C63" s="169">
        <f t="shared" ca="1" si="11"/>
        <v>13</v>
      </c>
      <c r="D63" s="169">
        <f t="shared" ca="1" si="11"/>
        <v>-23</v>
      </c>
      <c r="E63" s="169">
        <f t="shared" ca="1" si="11"/>
        <v>-23</v>
      </c>
      <c r="F63" s="169">
        <f t="shared" ca="1" si="11"/>
        <v>-53</v>
      </c>
      <c r="G63" s="169">
        <f t="shared" ca="1" si="11"/>
        <v>-53</v>
      </c>
      <c r="H63" s="169">
        <f t="shared" ca="1" si="11"/>
        <v>-3</v>
      </c>
      <c r="I63" s="169">
        <f t="shared" ca="1" si="11"/>
        <v>22</v>
      </c>
      <c r="J63" s="169">
        <f t="shared" ca="1" si="11"/>
        <v>47</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22</v>
      </c>
      <c r="T63" s="169">
        <f t="shared" ca="1" si="12"/>
        <v>22</v>
      </c>
      <c r="U63" s="169">
        <f t="shared" ca="1" si="12"/>
        <v>21</v>
      </c>
      <c r="V63" s="169">
        <f t="shared" ca="1" si="12"/>
        <v>22</v>
      </c>
      <c r="W63" s="169">
        <f t="shared" ca="1" si="12"/>
        <v>22</v>
      </c>
      <c r="X63" s="169">
        <f t="shared" ca="1" si="12"/>
        <v>22</v>
      </c>
      <c r="Y63" s="170">
        <f t="shared" ca="1" si="12"/>
        <v>-3</v>
      </c>
      <c r="Z63" s="190"/>
      <c r="AA63" s="162"/>
    </row>
    <row r="64" spans="1:27" s="161" customFormat="1" ht="12" x14ac:dyDescent="0.2">
      <c r="A64" s="192" t="s">
        <v>141</v>
      </c>
      <c r="B64" s="169">
        <f ca="1">IF(B62+B63&gt;645,"err",B62+B63)</f>
        <v>546</v>
      </c>
      <c r="C64" s="169">
        <f t="shared" ref="C64:Y64" ca="1" si="13">IF(C62+C63&gt;645,"err",C62+C63)</f>
        <v>432</v>
      </c>
      <c r="D64" s="169">
        <f t="shared" ca="1" si="13"/>
        <v>405</v>
      </c>
      <c r="E64" s="169">
        <f t="shared" ca="1" si="13"/>
        <v>405</v>
      </c>
      <c r="F64" s="169">
        <f t="shared" ca="1" si="13"/>
        <v>375</v>
      </c>
      <c r="G64" s="169">
        <f t="shared" ca="1" si="13"/>
        <v>375</v>
      </c>
      <c r="H64" s="169">
        <f t="shared" ca="1" si="13"/>
        <v>416</v>
      </c>
      <c r="I64" s="169">
        <f t="shared" ca="1" si="13"/>
        <v>542</v>
      </c>
      <c r="J64" s="169">
        <f t="shared" ca="1" si="13"/>
        <v>567</v>
      </c>
      <c r="K64" s="169">
        <f t="shared" ca="1" si="13"/>
        <v>542</v>
      </c>
      <c r="L64" s="169">
        <f t="shared" ca="1" si="13"/>
        <v>542</v>
      </c>
      <c r="M64" s="169">
        <f t="shared" ca="1" si="13"/>
        <v>490</v>
      </c>
      <c r="N64" s="169">
        <f t="shared" ca="1" si="13"/>
        <v>542</v>
      </c>
      <c r="O64" s="169">
        <f t="shared" ca="1" si="13"/>
        <v>542</v>
      </c>
      <c r="P64" s="169">
        <f t="shared" ca="1" si="13"/>
        <v>550</v>
      </c>
      <c r="Q64" s="169">
        <f t="shared" ca="1" si="13"/>
        <v>547</v>
      </c>
      <c r="R64" s="169">
        <f t="shared" ca="1" si="13"/>
        <v>547</v>
      </c>
      <c r="S64" s="169">
        <f t="shared" ca="1" si="13"/>
        <v>550</v>
      </c>
      <c r="T64" s="169">
        <f t="shared" ca="1" si="13"/>
        <v>550</v>
      </c>
      <c r="U64" s="169">
        <f t="shared" ca="1" si="13"/>
        <v>566</v>
      </c>
      <c r="V64" s="169">
        <f t="shared" ca="1" si="13"/>
        <v>567</v>
      </c>
      <c r="W64" s="169">
        <f t="shared" ca="1" si="13"/>
        <v>567</v>
      </c>
      <c r="X64" s="169">
        <f t="shared" ca="1" si="13"/>
        <v>542</v>
      </c>
      <c r="Y64" s="170">
        <f t="shared" ca="1" si="13"/>
        <v>416</v>
      </c>
      <c r="Z64" s="191"/>
      <c r="AA64" s="162"/>
    </row>
    <row r="65" spans="1:27" s="161" customFormat="1" ht="12" x14ac:dyDescent="0.2">
      <c r="A65" s="192" t="s">
        <v>18</v>
      </c>
      <c r="B65" s="169">
        <f ca="1">SUM(B61:B63)</f>
        <v>546</v>
      </c>
      <c r="C65" s="169">
        <f t="shared" ref="C65:Y65" ca="1" si="14">SUM(C61:C63)</f>
        <v>532</v>
      </c>
      <c r="D65" s="169">
        <f t="shared" ca="1" si="14"/>
        <v>505</v>
      </c>
      <c r="E65" s="169">
        <f t="shared" ca="1" si="14"/>
        <v>505</v>
      </c>
      <c r="F65" s="169">
        <f t="shared" ca="1" si="14"/>
        <v>505</v>
      </c>
      <c r="G65" s="169">
        <f t="shared" ca="1" si="14"/>
        <v>505</v>
      </c>
      <c r="H65" s="169">
        <f t="shared" ca="1" si="14"/>
        <v>546</v>
      </c>
      <c r="I65" s="169">
        <f t="shared" ca="1" si="14"/>
        <v>622</v>
      </c>
      <c r="J65" s="169">
        <f t="shared" ca="1" si="14"/>
        <v>647</v>
      </c>
      <c r="K65" s="169">
        <f t="shared" ca="1" si="14"/>
        <v>622</v>
      </c>
      <c r="L65" s="169">
        <f t="shared" ca="1" si="14"/>
        <v>622</v>
      </c>
      <c r="M65" s="169">
        <f t="shared" ca="1" si="14"/>
        <v>570</v>
      </c>
      <c r="N65" s="169">
        <f t="shared" ca="1" si="14"/>
        <v>622</v>
      </c>
      <c r="O65" s="169">
        <f t="shared" ca="1" si="14"/>
        <v>622</v>
      </c>
      <c r="P65" s="169">
        <f t="shared" ca="1" si="14"/>
        <v>630</v>
      </c>
      <c r="Q65" s="169">
        <f t="shared" ca="1" si="14"/>
        <v>627</v>
      </c>
      <c r="R65" s="169">
        <f t="shared" ca="1" si="14"/>
        <v>627</v>
      </c>
      <c r="S65" s="169">
        <f t="shared" ca="1" si="14"/>
        <v>683</v>
      </c>
      <c r="T65" s="169">
        <f t="shared" ca="1" si="14"/>
        <v>683</v>
      </c>
      <c r="U65" s="169">
        <f t="shared" ca="1" si="14"/>
        <v>699</v>
      </c>
      <c r="V65" s="169">
        <f t="shared" ca="1" si="14"/>
        <v>700</v>
      </c>
      <c r="W65" s="169">
        <f t="shared" ca="1" si="14"/>
        <v>647</v>
      </c>
      <c r="X65" s="169">
        <f t="shared" ca="1" si="14"/>
        <v>622</v>
      </c>
      <c r="Y65" s="170">
        <f t="shared" ca="1" si="14"/>
        <v>546</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193</v>
      </c>
      <c r="C67" s="169">
        <f t="array" ref="C67">SUM(IF(C$41:C$55 = 0,0,$Z$41:$Z$55-C$41:C$55))-INDEX(Balancing!$R$4:$R$27,C$3)</f>
        <v>193</v>
      </c>
      <c r="D67" s="169">
        <f t="array" ref="D67">SUM(IF(D$41:D$55 = 0,0,$Z$41:$Z$55-D$41:D$55))-INDEX(Balancing!$R$4:$R$27,D$3)</f>
        <v>194</v>
      </c>
      <c r="E67" s="169">
        <f t="array" ref="E67">SUM(IF(E$41:E$55 = 0,0,$Z$41:$Z$55-E$41:E$55))-INDEX(Balancing!$R$4:$R$27,E$3)</f>
        <v>192</v>
      </c>
      <c r="F67" s="169">
        <f t="array" ref="F67">SUM(IF(F$41:F$55 = 0,0,$Z$41:$Z$55-F$41:F$55))-INDEX(Balancing!$R$4:$R$27,F$3)</f>
        <v>186</v>
      </c>
      <c r="G67" s="169">
        <f t="array" ref="G67">SUM(IF(G$41:G$55 = 0,0,$Z$41:$Z$55-G$41:G$55))-INDEX(Balancing!$R$4:$R$27,G$3)</f>
        <v>146</v>
      </c>
      <c r="H67" s="169">
        <f t="array" ref="H67">SUM(IF(H$41:H$55 = 0,0,$Z$41:$Z$55-H$41:H$55))-INDEX(Balancing!$R$4:$R$27,H$3)</f>
        <v>108</v>
      </c>
      <c r="I67" s="169">
        <f t="array" ref="I67">SUM(IF(I$41:I$55 = 0,0,$Z$41:$Z$55-I$41:I$55))-INDEX(Balancing!$R$4:$R$27,I$3)</f>
        <v>123</v>
      </c>
      <c r="J67" s="169">
        <f t="array" ref="J67">SUM(IF(J$41:J$55 = 0,0,$Z$41:$Z$55-J$41:J$55))-INDEX(Balancing!$R$4:$R$27,J$3)</f>
        <v>142</v>
      </c>
      <c r="K67" s="169">
        <f t="array" ref="K67">SUM(IF(K$41:K$55 = 0,0,$Z$41:$Z$55-K$41:K$55))-INDEX(Balancing!$R$4:$R$27,K$3)</f>
        <v>116</v>
      </c>
      <c r="L67" s="169">
        <f t="array" ref="L67">SUM(IF(L$41:L$55 = 0,0,$Z$41:$Z$55-L$41:L$55))-INDEX(Balancing!$R$4:$R$27,L$3)</f>
        <v>104</v>
      </c>
      <c r="M67" s="169">
        <f t="array" ref="M67">SUM(IF(M$41:M$55 = 0,0,$Z$41:$Z$55-M$41:M$55))-INDEX(Balancing!$R$4:$R$27,M$3)</f>
        <v>120</v>
      </c>
      <c r="N67" s="169">
        <v>179</v>
      </c>
      <c r="O67" s="169">
        <f t="array" ref="O67">SUM(IF(O$41:O$55 = 0,0,$Z$41:$Z$55-O$41:O$55))-INDEX(Balancing!$R$4:$R$27,O$3)</f>
        <v>158</v>
      </c>
      <c r="P67" s="169">
        <f t="array" ref="P67">SUM(IF(P$41:P$55 = 0,0,$Z$41:$Z$55-P$41:P$55))-INDEX(Balancing!$R$4:$R$27,P$3)</f>
        <v>181</v>
      </c>
      <c r="Q67" s="169">
        <f t="array" ref="Q67">SUM(IF(Q$41:Q$55 = 0,0,$Z$41:$Z$55-Q$41:Q$55))-INDEX(Balancing!$R$4:$R$27,Q$3)</f>
        <v>194</v>
      </c>
      <c r="R67" s="169">
        <f t="array" ref="R67">SUM(IF(R$41:R$55 = 0,0,$Z$41:$Z$55-R$41:R$55))-INDEX(Balancing!$R$4:$R$27,R$3)</f>
        <v>170</v>
      </c>
      <c r="S67" s="169">
        <f t="array" ref="S67">SUM(IF(S$41:S$55 = 0,0,$Z$41:$Z$55-S$41:S$55))-INDEX(Balancing!$R$4:$R$27,S$3)</f>
        <v>181</v>
      </c>
      <c r="T67" s="169">
        <f t="array" ref="T67">SUM(IF(T$41:T$55 = 0,0,$Z$41:$Z$55-T$41:T$55))-INDEX(Balancing!$R$4:$R$27,T$3)</f>
        <v>101</v>
      </c>
      <c r="U67" s="169">
        <f t="array" ref="U67">SUM(IF(U$41:U$55 = 0,0,$Z$41:$Z$55-U$41:U$55))-INDEX(Balancing!$R$4:$R$27,U$3)</f>
        <v>128</v>
      </c>
      <c r="V67" s="169">
        <f t="array" ref="V67">SUM(IF(V$41:V$55 = 0,0,$Z$41:$Z$55-V$41:V$55))-INDEX(Balancing!$R$4:$R$27,V$3)</f>
        <v>134</v>
      </c>
      <c r="W67" s="169">
        <f t="array" ref="W67">SUM(IF(W$41:W$55 = 0,0,$Z$41:$Z$55-W$41:W$55))-INDEX(Balancing!$R$4:$R$27,W$3)</f>
        <v>121</v>
      </c>
      <c r="X67" s="169">
        <f t="array" ref="X67">SUM(IF(X$41:X$55 = 0,0,$Z$41:$Z$55-X$41:X$55))-INDEX(Balancing!$R$4:$R$27,X$3)</f>
        <v>182</v>
      </c>
      <c r="Y67" s="170">
        <f t="array" ref="Y67">SUM(IF(Y$41:Y$55 = 0,0,$Z$41:$Z$55-Y$41:Y$55))-INDEX(Balancing!$R$4:$R$27,Y$3)</f>
        <v>193</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thickBot="1" x14ac:dyDescent="0.25">
      <c r="A69" s="194" t="s">
        <v>143</v>
      </c>
      <c r="B69" s="171">
        <f t="shared" ref="B69:G69" si="15">IF(B67&lt;0.07*B4,"err",ROUND(B4*0.07,0))</f>
        <v>45</v>
      </c>
      <c r="C69" s="171">
        <f t="shared" si="15"/>
        <v>43</v>
      </c>
      <c r="D69" s="171">
        <f t="shared" si="15"/>
        <v>42</v>
      </c>
      <c r="E69" s="171">
        <f t="shared" si="15"/>
        <v>42</v>
      </c>
      <c r="F69" s="171">
        <f t="shared" si="15"/>
        <v>43</v>
      </c>
      <c r="G69" s="171">
        <f t="shared" si="15"/>
        <v>45</v>
      </c>
      <c r="H69" s="171">
        <f t="shared" ref="H69:Y69" si="16">IF(H67&lt;0.07*I4,"err",ROUND(I4*0.07,0))</f>
        <v>57</v>
      </c>
      <c r="I69" s="171">
        <f t="shared" si="16"/>
        <v>59</v>
      </c>
      <c r="J69" s="171">
        <f t="shared" si="16"/>
        <v>59</v>
      </c>
      <c r="K69" s="171">
        <f t="shared" si="16"/>
        <v>60</v>
      </c>
      <c r="L69" s="171">
        <f t="shared" si="16"/>
        <v>59</v>
      </c>
      <c r="M69" s="171">
        <f t="shared" si="16"/>
        <v>57</v>
      </c>
      <c r="N69" s="171">
        <f t="shared" si="16"/>
        <v>56</v>
      </c>
      <c r="O69" s="171">
        <f t="shared" si="16"/>
        <v>55</v>
      </c>
      <c r="P69" s="171">
        <f t="shared" si="16"/>
        <v>55</v>
      </c>
      <c r="Q69" s="171">
        <f t="shared" si="16"/>
        <v>56</v>
      </c>
      <c r="R69" s="171">
        <f t="shared" si="16"/>
        <v>59</v>
      </c>
      <c r="S69" s="171">
        <f t="shared" si="16"/>
        <v>64</v>
      </c>
      <c r="T69" s="171">
        <f t="shared" si="16"/>
        <v>63</v>
      </c>
      <c r="U69" s="171">
        <f t="shared" si="16"/>
        <v>63</v>
      </c>
      <c r="V69" s="171">
        <f t="shared" si="16"/>
        <v>61</v>
      </c>
      <c r="W69" s="171">
        <f t="shared" si="16"/>
        <v>54</v>
      </c>
      <c r="X69" s="171">
        <f t="shared" si="16"/>
        <v>49</v>
      </c>
      <c r="Y69" s="171">
        <f t="shared" si="16"/>
        <v>0</v>
      </c>
      <c r="Z69" s="190"/>
      <c r="AA69" s="162"/>
    </row>
    <row r="70" spans="1:27" s="289" customFormat="1"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
      <c r="A78" s="285" t="s">
        <v>154</v>
      </c>
      <c r="B78" s="461">
        <f t="shared" ref="B78:Y78" ca="1" si="17">(B22+B25+B29)</f>
        <v>109</v>
      </c>
      <c r="C78" s="461">
        <f t="shared" ca="1" si="17"/>
        <v>209</v>
      </c>
      <c r="D78" s="461">
        <f t="shared" ca="1" si="17"/>
        <v>200</v>
      </c>
      <c r="E78" s="461">
        <f ca="1">(E22+E25+E29)</f>
        <v>200</v>
      </c>
      <c r="F78" s="461">
        <f t="shared" ca="1" si="17"/>
        <v>230</v>
      </c>
      <c r="G78" s="461">
        <f ca="1">(G22+G25+G29)</f>
        <v>230</v>
      </c>
      <c r="H78" s="461">
        <f ca="1">(H22+H25+H29)</f>
        <v>239</v>
      </c>
      <c r="I78" s="461">
        <f ca="1">(I22+I25+I29)</f>
        <v>188</v>
      </c>
      <c r="J78" s="461">
        <f ca="1">(J22+J25+J29)</f>
        <v>188</v>
      </c>
      <c r="K78" s="461">
        <f t="shared" ca="1" si="17"/>
        <v>188</v>
      </c>
      <c r="L78" s="461">
        <f t="shared" ca="1" si="17"/>
        <v>188</v>
      </c>
      <c r="M78" s="461">
        <f t="shared" ca="1" si="17"/>
        <v>188</v>
      </c>
      <c r="N78" s="461">
        <f t="shared" ca="1" si="17"/>
        <v>188</v>
      </c>
      <c r="O78" s="461">
        <f t="shared" ca="1" si="17"/>
        <v>188</v>
      </c>
      <c r="P78" s="461">
        <f t="shared" ca="1" si="17"/>
        <v>180</v>
      </c>
      <c r="Q78" s="461">
        <f t="shared" ca="1" si="17"/>
        <v>180</v>
      </c>
      <c r="R78" s="461">
        <f t="shared" ca="1" si="17"/>
        <v>180</v>
      </c>
      <c r="S78" s="461">
        <f t="shared" ca="1" si="17"/>
        <v>180</v>
      </c>
      <c r="T78" s="461">
        <f t="shared" ca="1" si="17"/>
        <v>180</v>
      </c>
      <c r="U78" s="461">
        <f t="shared" ca="1" si="17"/>
        <v>188</v>
      </c>
      <c r="V78" s="461">
        <f t="shared" ca="1" si="17"/>
        <v>188</v>
      </c>
      <c r="W78" s="461">
        <f t="shared" ca="1" si="17"/>
        <v>188</v>
      </c>
      <c r="X78" s="461">
        <f t="shared" ca="1" si="17"/>
        <v>188</v>
      </c>
      <c r="Y78" s="461">
        <f t="shared" ca="1" si="17"/>
        <v>239</v>
      </c>
      <c r="Z78" s="161"/>
      <c r="AA78" s="162"/>
    </row>
    <row r="79" spans="1:27" x14ac:dyDescent="0.2">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
      <c r="A80" s="285" t="s">
        <v>156</v>
      </c>
      <c r="B80" s="462">
        <f>Deals!AD120</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
      <c r="A83" s="285" t="s">
        <v>160</v>
      </c>
      <c r="B83" s="286">
        <f ca="1">SUM(B78:Y78)</f>
        <v>4624</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5"/>
      <c r="Z85" s="161"/>
      <c r="AA85" s="162"/>
    </row>
    <row r="86" spans="1:27" x14ac:dyDescent="0.2">
      <c r="A86" s="285"/>
      <c r="X86" s="220"/>
      <c r="Y86" s="221" t="s">
        <v>162</v>
      </c>
      <c r="Z86" s="253">
        <f ca="1">SUM(Z89,Z92,Z95,Z98,Z101,Z105,Z110,Z115,Z120,Z125,Z130,Z135,Z140,Z145,Z150,Z155,Z160)</f>
        <v>221955.53064169025</v>
      </c>
    </row>
    <row r="87" spans="1:27" x14ac:dyDescent="0.2">
      <c r="X87" s="222"/>
      <c r="Y87" s="223" t="s">
        <v>163</v>
      </c>
      <c r="Z87" s="254">
        <f ca="1">SUM(Z90,Z93,Z96,Z99,Z102,Z107,Z112,Z117,Z122,Z127,Z132,Z137,Z142,Z147,Z152,Z157,Z162)</f>
        <v>269343.94673524663</v>
      </c>
    </row>
    <row r="88" spans="1:27" ht="13.5" thickBot="1" x14ac:dyDescent="0.25">
      <c r="A88" s="172" t="s">
        <v>164</v>
      </c>
      <c r="X88" s="224"/>
      <c r="Y88" s="225" t="s">
        <v>165</v>
      </c>
      <c r="Z88" s="255">
        <f ca="1">Z86-Z87</f>
        <v>-47388.416093556385</v>
      </c>
    </row>
    <row r="89" spans="1:27" x14ac:dyDescent="0.2">
      <c r="A89" s="226" t="str">
        <f>Economics!A28</f>
        <v>4 Corners Unit 4</v>
      </c>
      <c r="B89" s="227">
        <f t="shared" ref="B89:Y89" si="18">B56</f>
        <v>52</v>
      </c>
      <c r="C89" s="227">
        <f t="shared" si="18"/>
        <v>38</v>
      </c>
      <c r="D89" s="227">
        <f t="shared" si="18"/>
        <v>2</v>
      </c>
      <c r="E89" s="227">
        <f>E56</f>
        <v>2</v>
      </c>
      <c r="F89" s="227">
        <f t="shared" si="18"/>
        <v>2</v>
      </c>
      <c r="G89" s="227">
        <f t="shared" si="18"/>
        <v>2</v>
      </c>
      <c r="H89" s="227">
        <f t="shared" si="18"/>
        <v>52</v>
      </c>
      <c r="I89" s="227">
        <f t="shared" si="18"/>
        <v>52</v>
      </c>
      <c r="J89" s="227">
        <f t="shared" si="18"/>
        <v>52</v>
      </c>
      <c r="K89" s="227">
        <f t="shared" si="18"/>
        <v>52</v>
      </c>
      <c r="L89" s="227">
        <f t="shared" si="18"/>
        <v>52</v>
      </c>
      <c r="M89" s="227">
        <f>M57</f>
        <v>0</v>
      </c>
      <c r="N89" s="227">
        <f t="shared" si="18"/>
        <v>52</v>
      </c>
      <c r="O89" s="227">
        <f t="shared" si="18"/>
        <v>52</v>
      </c>
      <c r="P89" s="227">
        <f t="shared" si="18"/>
        <v>52</v>
      </c>
      <c r="Q89" s="227">
        <f t="shared" si="18"/>
        <v>52</v>
      </c>
      <c r="R89" s="227">
        <f t="shared" si="18"/>
        <v>52</v>
      </c>
      <c r="S89" s="227">
        <f t="shared" si="18"/>
        <v>52</v>
      </c>
      <c r="T89" s="227">
        <f t="shared" si="18"/>
        <v>52</v>
      </c>
      <c r="U89" s="227">
        <f t="shared" si="18"/>
        <v>51</v>
      </c>
      <c r="V89" s="227">
        <f t="shared" si="18"/>
        <v>52</v>
      </c>
      <c r="W89" s="227">
        <f t="shared" si="18"/>
        <v>52</v>
      </c>
      <c r="X89" s="227">
        <f t="shared" si="18"/>
        <v>52</v>
      </c>
      <c r="Y89" s="227">
        <f t="shared" si="18"/>
        <v>52</v>
      </c>
      <c r="Z89" s="256">
        <f t="array" ref="Z89">SUM(B89:Y89*Economics!F$28)</f>
        <v>12826.457280000006</v>
      </c>
    </row>
    <row r="90" spans="1:27" x14ac:dyDescent="0.2">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5" thickBot="1" x14ac:dyDescent="0.25">
      <c r="A91" s="186" t="s">
        <v>165</v>
      </c>
      <c r="B91" s="205">
        <f t="shared" ref="B91:Y91" si="19">B90-B89</f>
        <v>51</v>
      </c>
      <c r="C91" s="205">
        <f t="shared" si="19"/>
        <v>14</v>
      </c>
      <c r="D91" s="205">
        <f t="shared" si="19"/>
        <v>0</v>
      </c>
      <c r="E91" s="205">
        <f t="shared" si="19"/>
        <v>0</v>
      </c>
      <c r="F91" s="205">
        <f t="shared" si="19"/>
        <v>0</v>
      </c>
      <c r="G91" s="205">
        <f t="shared" si="19"/>
        <v>0</v>
      </c>
      <c r="H91" s="205">
        <f t="shared" si="19"/>
        <v>0</v>
      </c>
      <c r="I91" s="205">
        <f t="shared" si="19"/>
        <v>0</v>
      </c>
      <c r="J91" s="205">
        <f t="shared" si="19"/>
        <v>0</v>
      </c>
      <c r="K91" s="205">
        <f t="shared" si="19"/>
        <v>0</v>
      </c>
      <c r="L91" s="205">
        <f t="shared" si="19"/>
        <v>51</v>
      </c>
      <c r="M91" s="205">
        <f t="shared" si="19"/>
        <v>103</v>
      </c>
      <c r="N91" s="205">
        <f t="shared" si="19"/>
        <v>51</v>
      </c>
      <c r="O91" s="205">
        <f t="shared" si="19"/>
        <v>51</v>
      </c>
      <c r="P91" s="205">
        <f t="shared" si="19"/>
        <v>51</v>
      </c>
      <c r="Q91" s="205">
        <f t="shared" si="19"/>
        <v>51</v>
      </c>
      <c r="R91" s="205">
        <f t="shared" si="19"/>
        <v>51</v>
      </c>
      <c r="S91" s="205">
        <f t="shared" si="19"/>
        <v>51</v>
      </c>
      <c r="T91" s="205">
        <f t="shared" si="19"/>
        <v>51</v>
      </c>
      <c r="U91" s="205">
        <f t="shared" si="19"/>
        <v>52</v>
      </c>
      <c r="V91" s="205">
        <f t="shared" si="19"/>
        <v>0</v>
      </c>
      <c r="W91" s="205">
        <f t="shared" si="19"/>
        <v>0</v>
      </c>
      <c r="X91" s="205">
        <f t="shared" si="19"/>
        <v>0</v>
      </c>
      <c r="Y91" s="205">
        <f t="shared" si="19"/>
        <v>0</v>
      </c>
      <c r="Z91" s="259">
        <f>Z89-Z90</f>
        <v>-8211.0246399999887</v>
      </c>
    </row>
    <row r="92" spans="1:27" x14ac:dyDescent="0.2">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5" thickBot="1" x14ac:dyDescent="0.25">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
      <c r="A95" s="182" t="str">
        <f>Economics!A30</f>
        <v>PV Unit 1</v>
      </c>
      <c r="B95" s="180">
        <f t="shared" ref="B95:Y95" si="22">B53</f>
        <v>201</v>
      </c>
      <c r="C95" s="180">
        <f t="shared" si="22"/>
        <v>201</v>
      </c>
      <c r="D95" s="180">
        <f t="shared" si="22"/>
        <v>201</v>
      </c>
      <c r="E95" s="180">
        <f>E53</f>
        <v>201</v>
      </c>
      <c r="F95" s="180">
        <f t="shared" si="22"/>
        <v>201</v>
      </c>
      <c r="G95" s="180">
        <f t="shared" si="22"/>
        <v>201</v>
      </c>
      <c r="H95" s="180">
        <f t="shared" si="22"/>
        <v>201</v>
      </c>
      <c r="I95" s="180">
        <f t="shared" si="22"/>
        <v>201</v>
      </c>
      <c r="J95" s="180">
        <f t="shared" si="22"/>
        <v>201</v>
      </c>
      <c r="K95" s="180">
        <f t="shared" si="22"/>
        <v>201</v>
      </c>
      <c r="L95" s="180">
        <f t="shared" si="22"/>
        <v>201</v>
      </c>
      <c r="M95" s="180">
        <f t="shared" si="22"/>
        <v>201</v>
      </c>
      <c r="N95" s="180">
        <f t="shared" si="22"/>
        <v>201</v>
      </c>
      <c r="O95" s="180">
        <f t="shared" si="22"/>
        <v>201</v>
      </c>
      <c r="P95" s="180">
        <f t="shared" si="22"/>
        <v>201</v>
      </c>
      <c r="Q95" s="180">
        <f t="shared" si="22"/>
        <v>200</v>
      </c>
      <c r="R95" s="180">
        <f t="shared" si="22"/>
        <v>200</v>
      </c>
      <c r="S95" s="180">
        <f t="shared" si="22"/>
        <v>201</v>
      </c>
      <c r="T95" s="180">
        <f t="shared" si="22"/>
        <v>201</v>
      </c>
      <c r="U95" s="180">
        <f t="shared" si="22"/>
        <v>201</v>
      </c>
      <c r="V95" s="180">
        <f t="shared" si="22"/>
        <v>201</v>
      </c>
      <c r="W95" s="180">
        <f t="shared" si="22"/>
        <v>201</v>
      </c>
      <c r="X95" s="180">
        <f t="shared" si="22"/>
        <v>201</v>
      </c>
      <c r="Y95" s="180">
        <f t="shared" si="22"/>
        <v>201</v>
      </c>
      <c r="Z95" s="258">
        <f t="array" ref="Z95">SUM(B95:Y95*Economics!F$30)</f>
        <v>29394.911999999989</v>
      </c>
    </row>
    <row r="96" spans="1:27" x14ac:dyDescent="0.2">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5" thickBot="1" x14ac:dyDescent="0.25">
      <c r="A97" s="186" t="s">
        <v>165</v>
      </c>
      <c r="B97" s="205">
        <f t="shared" ref="B97:Y97" si="23">B96-B95</f>
        <v>-1</v>
      </c>
      <c r="C97" s="205">
        <f t="shared" si="23"/>
        <v>-1</v>
      </c>
      <c r="D97" s="205">
        <f t="shared" si="23"/>
        <v>-1</v>
      </c>
      <c r="E97" s="205">
        <f t="shared" si="23"/>
        <v>-1</v>
      </c>
      <c r="F97" s="205">
        <f t="shared" si="23"/>
        <v>-1</v>
      </c>
      <c r="G97" s="205">
        <f t="shared" si="23"/>
        <v>-1</v>
      </c>
      <c r="H97" s="205">
        <f t="shared" si="23"/>
        <v>-1</v>
      </c>
      <c r="I97" s="205">
        <f t="shared" si="23"/>
        <v>-1</v>
      </c>
      <c r="J97" s="205">
        <f t="shared" si="23"/>
        <v>-1</v>
      </c>
      <c r="K97" s="205">
        <f t="shared" si="23"/>
        <v>-1</v>
      </c>
      <c r="L97" s="205">
        <f t="shared" si="23"/>
        <v>-1</v>
      </c>
      <c r="M97" s="205">
        <f t="shared" si="23"/>
        <v>-1</v>
      </c>
      <c r="N97" s="205">
        <f t="shared" si="23"/>
        <v>-1</v>
      </c>
      <c r="O97" s="205">
        <f t="shared" si="23"/>
        <v>-1</v>
      </c>
      <c r="P97" s="205">
        <f t="shared" si="23"/>
        <v>-1</v>
      </c>
      <c r="Q97" s="205">
        <f t="shared" si="23"/>
        <v>0</v>
      </c>
      <c r="R97" s="205">
        <f t="shared" si="23"/>
        <v>0</v>
      </c>
      <c r="S97" s="205">
        <f t="shared" si="23"/>
        <v>-1</v>
      </c>
      <c r="T97" s="205">
        <f t="shared" si="23"/>
        <v>-1</v>
      </c>
      <c r="U97" s="205">
        <f t="shared" si="23"/>
        <v>-1</v>
      </c>
      <c r="V97" s="205">
        <f t="shared" si="23"/>
        <v>-1</v>
      </c>
      <c r="W97" s="205">
        <f t="shared" si="23"/>
        <v>-1</v>
      </c>
      <c r="X97" s="205">
        <f t="shared" si="23"/>
        <v>-1</v>
      </c>
      <c r="Y97" s="205">
        <f t="shared" si="23"/>
        <v>-1</v>
      </c>
      <c r="Z97" s="259">
        <f>Z95-Z96</f>
        <v>134.11199999997916</v>
      </c>
    </row>
    <row r="98" spans="1:29" x14ac:dyDescent="0.2">
      <c r="A98" s="182" t="str">
        <f>Economics!A31</f>
        <v>PV Unit 2</v>
      </c>
      <c r="B98" s="180">
        <f t="shared" ref="B98:Y98" si="24">B54</f>
        <v>201</v>
      </c>
      <c r="C98" s="180">
        <f t="shared" si="24"/>
        <v>201</v>
      </c>
      <c r="D98" s="180">
        <f t="shared" si="24"/>
        <v>201</v>
      </c>
      <c r="E98" s="180">
        <f>E54</f>
        <v>201</v>
      </c>
      <c r="F98" s="180">
        <f t="shared" si="24"/>
        <v>201</v>
      </c>
      <c r="G98" s="180">
        <f t="shared" si="24"/>
        <v>201</v>
      </c>
      <c r="H98" s="180">
        <f t="shared" si="24"/>
        <v>201</v>
      </c>
      <c r="I98" s="180">
        <f t="shared" si="24"/>
        <v>201</v>
      </c>
      <c r="J98" s="180">
        <f t="shared" si="24"/>
        <v>201</v>
      </c>
      <c r="K98" s="180">
        <f t="shared" si="24"/>
        <v>201</v>
      </c>
      <c r="L98" s="180">
        <f t="shared" si="24"/>
        <v>201</v>
      </c>
      <c r="M98" s="180">
        <f t="shared" si="24"/>
        <v>201</v>
      </c>
      <c r="N98" s="180">
        <f t="shared" si="24"/>
        <v>201</v>
      </c>
      <c r="O98" s="180">
        <f t="shared" si="24"/>
        <v>201</v>
      </c>
      <c r="P98" s="180">
        <f t="shared" si="24"/>
        <v>201</v>
      </c>
      <c r="Q98" s="180">
        <f t="shared" si="24"/>
        <v>200</v>
      </c>
      <c r="R98" s="180">
        <f t="shared" si="24"/>
        <v>200</v>
      </c>
      <c r="S98" s="180">
        <f t="shared" si="24"/>
        <v>201</v>
      </c>
      <c r="T98" s="180">
        <f t="shared" si="24"/>
        <v>201</v>
      </c>
      <c r="U98" s="180">
        <f t="shared" si="24"/>
        <v>201</v>
      </c>
      <c r="V98" s="180">
        <f t="shared" si="24"/>
        <v>201</v>
      </c>
      <c r="W98" s="180">
        <f t="shared" si="24"/>
        <v>201</v>
      </c>
      <c r="X98" s="180">
        <f t="shared" si="24"/>
        <v>201</v>
      </c>
      <c r="Y98" s="180">
        <f t="shared" si="24"/>
        <v>201</v>
      </c>
      <c r="Z98" s="258">
        <f t="array" ref="Z98">SUM(B98:Y98*Economics!F$31)</f>
        <v>29394.911999999989</v>
      </c>
    </row>
    <row r="99" spans="1:29" x14ac:dyDescent="0.2">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5" thickBot="1" x14ac:dyDescent="0.25">
      <c r="A100" s="186" t="s">
        <v>165</v>
      </c>
      <c r="B100" s="205">
        <f t="shared" ref="B100:Y100" si="25">B99-B98</f>
        <v>-7</v>
      </c>
      <c r="C100" s="205">
        <f t="shared" si="25"/>
        <v>-7</v>
      </c>
      <c r="D100" s="205">
        <f t="shared" si="25"/>
        <v>-7</v>
      </c>
      <c r="E100" s="205">
        <f t="shared" si="25"/>
        <v>-7</v>
      </c>
      <c r="F100" s="205">
        <f t="shared" si="25"/>
        <v>-6</v>
      </c>
      <c r="G100" s="205">
        <f t="shared" si="25"/>
        <v>-6</v>
      </c>
      <c r="H100" s="205">
        <f t="shared" si="25"/>
        <v>-6</v>
      </c>
      <c r="I100" s="205">
        <f t="shared" si="25"/>
        <v>-6</v>
      </c>
      <c r="J100" s="205">
        <f t="shared" si="25"/>
        <v>-6</v>
      </c>
      <c r="K100" s="205">
        <f t="shared" si="25"/>
        <v>-6</v>
      </c>
      <c r="L100" s="205">
        <f t="shared" si="25"/>
        <v>-6</v>
      </c>
      <c r="M100" s="205">
        <f t="shared" si="25"/>
        <v>-6</v>
      </c>
      <c r="N100" s="205">
        <f t="shared" si="25"/>
        <v>-6</v>
      </c>
      <c r="O100" s="205">
        <f t="shared" si="25"/>
        <v>-6</v>
      </c>
      <c r="P100" s="205">
        <f t="shared" si="25"/>
        <v>-6</v>
      </c>
      <c r="Q100" s="205">
        <f t="shared" si="25"/>
        <v>-5</v>
      </c>
      <c r="R100" s="205">
        <f t="shared" si="25"/>
        <v>-5</v>
      </c>
      <c r="S100" s="205">
        <f t="shared" si="25"/>
        <v>-6</v>
      </c>
      <c r="T100" s="205">
        <f t="shared" si="25"/>
        <v>-6</v>
      </c>
      <c r="U100" s="205">
        <f t="shared" si="25"/>
        <v>-6</v>
      </c>
      <c r="V100" s="205">
        <f t="shared" si="25"/>
        <v>-6</v>
      </c>
      <c r="W100" s="205">
        <f t="shared" si="25"/>
        <v>-6</v>
      </c>
      <c r="X100" s="205">
        <f t="shared" si="25"/>
        <v>-6</v>
      </c>
      <c r="Y100" s="205">
        <f t="shared" si="25"/>
        <v>-6</v>
      </c>
      <c r="Z100" s="259">
        <f>Z98-Z99</f>
        <v>890.01599999998143</v>
      </c>
    </row>
    <row r="101" spans="1:29" x14ac:dyDescent="0.2">
      <c r="A101" s="182" t="str">
        <f>Economics!A32</f>
        <v>PV Unit 3</v>
      </c>
      <c r="B101" s="180">
        <f t="shared" ref="B101:Y101" si="26">B55</f>
        <v>201</v>
      </c>
      <c r="C101" s="180">
        <f t="shared" si="26"/>
        <v>201</v>
      </c>
      <c r="D101" s="180">
        <f t="shared" si="26"/>
        <v>201</v>
      </c>
      <c r="E101" s="180">
        <f>E55</f>
        <v>201</v>
      </c>
      <c r="F101" s="180">
        <f t="shared" si="26"/>
        <v>201</v>
      </c>
      <c r="G101" s="180">
        <f t="shared" si="26"/>
        <v>201</v>
      </c>
      <c r="H101" s="180">
        <f t="shared" si="26"/>
        <v>201</v>
      </c>
      <c r="I101" s="180">
        <f t="shared" si="26"/>
        <v>201</v>
      </c>
      <c r="J101" s="180">
        <f t="shared" si="26"/>
        <v>201</v>
      </c>
      <c r="K101" s="180">
        <f t="shared" si="26"/>
        <v>201</v>
      </c>
      <c r="L101" s="180">
        <f t="shared" si="26"/>
        <v>201</v>
      </c>
      <c r="M101" s="180">
        <f t="shared" si="26"/>
        <v>201</v>
      </c>
      <c r="N101" s="180">
        <f t="shared" si="26"/>
        <v>201</v>
      </c>
      <c r="O101" s="180">
        <f t="shared" si="26"/>
        <v>201</v>
      </c>
      <c r="P101" s="180">
        <f t="shared" si="26"/>
        <v>201</v>
      </c>
      <c r="Q101" s="180">
        <f t="shared" si="26"/>
        <v>200</v>
      </c>
      <c r="R101" s="180">
        <f t="shared" si="26"/>
        <v>200</v>
      </c>
      <c r="S101" s="180">
        <f t="shared" si="26"/>
        <v>201</v>
      </c>
      <c r="T101" s="180">
        <f t="shared" si="26"/>
        <v>201</v>
      </c>
      <c r="U101" s="180">
        <f t="shared" si="26"/>
        <v>201</v>
      </c>
      <c r="V101" s="180">
        <f t="shared" si="26"/>
        <v>201</v>
      </c>
      <c r="W101" s="180">
        <f t="shared" si="26"/>
        <v>201</v>
      </c>
      <c r="X101" s="180">
        <f t="shared" si="26"/>
        <v>201</v>
      </c>
      <c r="Y101" s="180">
        <f t="shared" si="26"/>
        <v>201</v>
      </c>
      <c r="Z101" s="258">
        <f t="array" ref="Z101">SUM(B101:Y101*Economics!F$32)</f>
        <v>29394.911999999989</v>
      </c>
    </row>
    <row r="102" spans="1:29" x14ac:dyDescent="0.2">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5" thickBot="1" x14ac:dyDescent="0.25">
      <c r="A103" s="186" t="s">
        <v>165</v>
      </c>
      <c r="B103" s="205">
        <f t="shared" ref="B103:Y103" si="27">B102-B101</f>
        <v>-1</v>
      </c>
      <c r="C103" s="205">
        <f t="shared" si="27"/>
        <v>-1</v>
      </c>
      <c r="D103" s="205">
        <f t="shared" si="27"/>
        <v>-1</v>
      </c>
      <c r="E103" s="205">
        <f t="shared" si="27"/>
        <v>-1</v>
      </c>
      <c r="F103" s="205">
        <f t="shared" si="27"/>
        <v>-1</v>
      </c>
      <c r="G103" s="205">
        <f t="shared" si="27"/>
        <v>-1</v>
      </c>
      <c r="H103" s="205">
        <f t="shared" si="27"/>
        <v>-1</v>
      </c>
      <c r="I103" s="205">
        <f t="shared" si="27"/>
        <v>-1</v>
      </c>
      <c r="J103" s="205">
        <f t="shared" si="27"/>
        <v>-1</v>
      </c>
      <c r="K103" s="205">
        <f t="shared" si="27"/>
        <v>-1</v>
      </c>
      <c r="L103" s="205">
        <f t="shared" si="27"/>
        <v>-1</v>
      </c>
      <c r="M103" s="205">
        <f t="shared" si="27"/>
        <v>-1</v>
      </c>
      <c r="N103" s="205">
        <f t="shared" si="27"/>
        <v>-1</v>
      </c>
      <c r="O103" s="205">
        <f t="shared" si="27"/>
        <v>-1</v>
      </c>
      <c r="P103" s="205">
        <f t="shared" si="27"/>
        <v>-1</v>
      </c>
      <c r="Q103" s="205">
        <f t="shared" si="27"/>
        <v>0</v>
      </c>
      <c r="R103" s="205">
        <f t="shared" si="27"/>
        <v>0</v>
      </c>
      <c r="S103" s="205">
        <f t="shared" si="27"/>
        <v>-1</v>
      </c>
      <c r="T103" s="205">
        <f t="shared" si="27"/>
        <v>-1</v>
      </c>
      <c r="U103" s="205">
        <f t="shared" si="27"/>
        <v>-1</v>
      </c>
      <c r="V103" s="205">
        <f t="shared" si="27"/>
        <v>-1</v>
      </c>
      <c r="W103" s="205">
        <f t="shared" si="27"/>
        <v>-1</v>
      </c>
      <c r="X103" s="205">
        <f t="shared" si="27"/>
        <v>-1</v>
      </c>
      <c r="Y103" s="205">
        <f t="shared" si="27"/>
        <v>-1</v>
      </c>
      <c r="Z103" s="259">
        <f>Z101-Z102</f>
        <v>134.11199999997916</v>
      </c>
    </row>
    <row r="104" spans="1:29" x14ac:dyDescent="0.2">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
      <c r="A105" s="184">
        <f>Economics!$I34</f>
        <v>1.96</v>
      </c>
      <c r="B105" s="188">
        <f t="shared" ref="B105:Y105" ca="1" si="29">IndGencost(B104,OFFSET(HeatRateStart,1,MATCH($A104,HeatRateNames,0)-1,250,1),$A105)</f>
        <v>23.547401890555044</v>
      </c>
      <c r="C105" s="188">
        <f t="shared" ca="1" si="29"/>
        <v>0</v>
      </c>
      <c r="D105" s="188">
        <f t="shared" ca="1" si="29"/>
        <v>0</v>
      </c>
      <c r="E105" s="188">
        <f ca="1">IndGencost(E104,OFFSET(HeatRateStart,1,MATCH($A104,HeatRateNames,0)-1,250,1),$A105)</f>
        <v>0</v>
      </c>
      <c r="F105" s="188">
        <f t="shared" ca="1" si="29"/>
        <v>0</v>
      </c>
      <c r="G105" s="188">
        <f t="shared" ca="1" si="29"/>
        <v>0</v>
      </c>
      <c r="H105" s="188">
        <f t="shared" ca="1" si="29"/>
        <v>0</v>
      </c>
      <c r="I105" s="188">
        <f t="shared" ca="1" si="29"/>
        <v>0</v>
      </c>
      <c r="J105" s="188">
        <f t="shared" ca="1" si="29"/>
        <v>0</v>
      </c>
      <c r="K105" s="188">
        <f t="shared" ca="1" si="29"/>
        <v>0</v>
      </c>
      <c r="L105" s="188">
        <f t="shared" ca="1" si="29"/>
        <v>0</v>
      </c>
      <c r="M105" s="188">
        <f t="shared" ca="1" si="29"/>
        <v>0</v>
      </c>
      <c r="N105" s="188">
        <f t="shared" ca="1" si="29"/>
        <v>0</v>
      </c>
      <c r="O105" s="188">
        <f t="shared" ca="1" si="29"/>
        <v>0</v>
      </c>
      <c r="P105" s="188">
        <f t="shared" ca="1" si="29"/>
        <v>0</v>
      </c>
      <c r="Q105" s="188">
        <f t="shared" ca="1" si="29"/>
        <v>0</v>
      </c>
      <c r="R105" s="188">
        <f t="shared" ca="1" si="29"/>
        <v>0</v>
      </c>
      <c r="S105" s="188">
        <f t="shared" ca="1" si="29"/>
        <v>23.319183465619929</v>
      </c>
      <c r="T105" s="188">
        <f t="shared" ca="1" si="29"/>
        <v>23.319183465619929</v>
      </c>
      <c r="U105" s="188">
        <f t="shared" ca="1" si="29"/>
        <v>23.319183465619929</v>
      </c>
      <c r="V105" s="188">
        <f t="shared" ca="1" si="29"/>
        <v>23.319183465619929</v>
      </c>
      <c r="W105" s="188">
        <f t="shared" ca="1" si="29"/>
        <v>0</v>
      </c>
      <c r="X105" s="188">
        <f t="shared" ca="1" si="29"/>
        <v>0</v>
      </c>
      <c r="Y105" s="188">
        <f t="shared" ca="1" si="29"/>
        <v>0</v>
      </c>
      <c r="Z105" s="258">
        <f t="array" aca="1" ref="Z105" ca="1">SUM(B104:Y104*B105:Y105)</f>
        <v>3901.3784099315167</v>
      </c>
      <c r="AA105" s="317" t="s">
        <v>167</v>
      </c>
    </row>
    <row r="106" spans="1:29" x14ac:dyDescent="0.2">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
      <c r="A107" s="181"/>
      <c r="B107" s="189">
        <f t="shared" ref="B107:Y107" ca="1" si="30">IndGencost(B106,OFFSET(HeatRateStart,1,MATCH($A104,HeatRateNames,0)-1,250,1),$A105)</f>
        <v>23.634399126656849</v>
      </c>
      <c r="C107" s="189">
        <f t="shared" ca="1" si="30"/>
        <v>23.634399126656849</v>
      </c>
      <c r="D107" s="189">
        <f t="shared" ca="1" si="30"/>
        <v>23.634399126656849</v>
      </c>
      <c r="E107" s="189">
        <f ca="1">IndGencost(E106,OFFSET(HeatRateStart,1,MATCH($A104,HeatRateNames,0)-1,250,1),$A105)</f>
        <v>23.634399126656849</v>
      </c>
      <c r="F107" s="189">
        <f t="shared" ca="1" si="30"/>
        <v>23.634399126656849</v>
      </c>
      <c r="G107" s="189">
        <f t="shared" ca="1" si="30"/>
        <v>23.634399126656849</v>
      </c>
      <c r="H107" s="189">
        <f t="shared" ca="1" si="30"/>
        <v>23.634399126656849</v>
      </c>
      <c r="I107" s="189">
        <f t="shared" ca="1" si="30"/>
        <v>23.634399126656849</v>
      </c>
      <c r="J107" s="189">
        <f t="shared" ca="1" si="30"/>
        <v>23.634399126656849</v>
      </c>
      <c r="K107" s="189">
        <f t="shared" ca="1" si="30"/>
        <v>23.634399126656849</v>
      </c>
      <c r="L107" s="189">
        <f t="shared" ca="1" si="30"/>
        <v>23.634399126656849</v>
      </c>
      <c r="M107" s="189">
        <f t="shared" ca="1" si="30"/>
        <v>23.634399126656849</v>
      </c>
      <c r="N107" s="189">
        <f t="shared" ca="1" si="30"/>
        <v>23.634399126656849</v>
      </c>
      <c r="O107" s="189">
        <f t="shared" ca="1" si="30"/>
        <v>23.634399126656849</v>
      </c>
      <c r="P107" s="189">
        <f t="shared" ca="1" si="30"/>
        <v>23.634399126656849</v>
      </c>
      <c r="Q107" s="189">
        <f t="shared" ca="1" si="30"/>
        <v>23.634399126656849</v>
      </c>
      <c r="R107" s="189">
        <f t="shared" ca="1" si="30"/>
        <v>23.634399126656849</v>
      </c>
      <c r="S107" s="189">
        <f t="shared" ca="1" si="30"/>
        <v>23.634399126656849</v>
      </c>
      <c r="T107" s="189">
        <f t="shared" ca="1" si="30"/>
        <v>23.634399126656849</v>
      </c>
      <c r="U107" s="189">
        <f t="shared" ca="1" si="30"/>
        <v>23.634399126656849</v>
      </c>
      <c r="V107" s="189">
        <f t="shared" ca="1" si="30"/>
        <v>23.634399126656849</v>
      </c>
      <c r="W107" s="189">
        <f t="shared" ca="1" si="30"/>
        <v>23.634399126656849</v>
      </c>
      <c r="X107" s="189">
        <f t="shared" ca="1" si="30"/>
        <v>23.634399126656849</v>
      </c>
      <c r="Y107" s="189">
        <f t="shared" ca="1" si="30"/>
        <v>23.634399126656849</v>
      </c>
      <c r="Z107" s="257">
        <f t="array" aca="1" ref="Z107" ca="1">SUM(B106:Y106*B107:Y107)</f>
        <v>17016.767371192927</v>
      </c>
      <c r="AA107" s="271"/>
    </row>
    <row r="108" spans="1:29" ht="13.5" thickBot="1" x14ac:dyDescent="0.25">
      <c r="A108" s="186" t="s">
        <v>165</v>
      </c>
      <c r="B108" s="187">
        <f t="shared" ref="B108:Y108" ca="1" si="31">B107-B105</f>
        <v>8.6997236101804987E-2</v>
      </c>
      <c r="C108" s="187">
        <f t="shared" ca="1" si="31"/>
        <v>23.634399126656849</v>
      </c>
      <c r="D108" s="187">
        <f t="shared" ca="1" si="31"/>
        <v>23.634399126656849</v>
      </c>
      <c r="E108" s="187">
        <f t="shared" ca="1" si="31"/>
        <v>23.634399126656849</v>
      </c>
      <c r="F108" s="187">
        <f t="shared" ca="1" si="31"/>
        <v>23.634399126656849</v>
      </c>
      <c r="G108" s="187">
        <f t="shared" ca="1" si="31"/>
        <v>23.634399126656849</v>
      </c>
      <c r="H108" s="187">
        <f t="shared" ca="1" si="31"/>
        <v>23.634399126656849</v>
      </c>
      <c r="I108" s="187">
        <f t="shared" ca="1" si="31"/>
        <v>23.634399126656849</v>
      </c>
      <c r="J108" s="187">
        <f t="shared" ca="1" si="31"/>
        <v>23.634399126656849</v>
      </c>
      <c r="K108" s="187">
        <f t="shared" ca="1" si="31"/>
        <v>23.634399126656849</v>
      </c>
      <c r="L108" s="187">
        <f t="shared" ca="1" si="31"/>
        <v>23.634399126656849</v>
      </c>
      <c r="M108" s="187">
        <f t="shared" ca="1" si="31"/>
        <v>23.634399126656849</v>
      </c>
      <c r="N108" s="187">
        <f t="shared" ca="1" si="31"/>
        <v>23.634399126656849</v>
      </c>
      <c r="O108" s="187">
        <f t="shared" ca="1" si="31"/>
        <v>23.634399126656849</v>
      </c>
      <c r="P108" s="187">
        <f t="shared" ca="1" si="31"/>
        <v>23.634399126656849</v>
      </c>
      <c r="Q108" s="187">
        <f t="shared" ca="1" si="31"/>
        <v>23.634399126656849</v>
      </c>
      <c r="R108" s="187">
        <f t="shared" ca="1" si="31"/>
        <v>23.634399126656849</v>
      </c>
      <c r="S108" s="187">
        <f t="shared" ca="1" si="31"/>
        <v>0.31521566103691967</v>
      </c>
      <c r="T108" s="187">
        <f t="shared" ca="1" si="31"/>
        <v>0.31521566103691967</v>
      </c>
      <c r="U108" s="187">
        <f t="shared" ca="1" si="31"/>
        <v>0.31521566103691967</v>
      </c>
      <c r="V108" s="187">
        <f t="shared" ca="1" si="31"/>
        <v>0.31521566103691967</v>
      </c>
      <c r="W108" s="187">
        <f t="shared" ca="1" si="31"/>
        <v>23.634399126656849</v>
      </c>
      <c r="X108" s="187">
        <f t="shared" ca="1" si="31"/>
        <v>23.634399126656849</v>
      </c>
      <c r="Y108" s="187">
        <f t="shared" ca="1" si="31"/>
        <v>23.634399126656849</v>
      </c>
      <c r="Z108" s="259">
        <f ca="1">Z105-Z107</f>
        <v>-13115.388961261411</v>
      </c>
    </row>
    <row r="109" spans="1:29" x14ac:dyDescent="0.2">
      <c r="A109" s="182" t="str">
        <f>Economics!A35</f>
        <v>Newman 2</v>
      </c>
      <c r="B109" s="180">
        <f>B42</f>
        <v>34</v>
      </c>
      <c r="C109" s="180">
        <f t="shared" ref="C109:Y109" si="32">C42</f>
        <v>34</v>
      </c>
      <c r="D109" s="180">
        <f t="shared" si="32"/>
        <v>34</v>
      </c>
      <c r="E109" s="180">
        <f>E42</f>
        <v>34</v>
      </c>
      <c r="F109" s="180">
        <f t="shared" si="32"/>
        <v>35</v>
      </c>
      <c r="G109" s="180">
        <f t="shared" si="32"/>
        <v>33</v>
      </c>
      <c r="H109" s="180">
        <f t="shared" si="32"/>
        <v>55</v>
      </c>
      <c r="I109" s="180">
        <f>I42</f>
        <v>34</v>
      </c>
      <c r="J109" s="180">
        <f t="shared" si="32"/>
        <v>38</v>
      </c>
      <c r="K109" s="180">
        <f t="shared" si="32"/>
        <v>35</v>
      </c>
      <c r="L109" s="180">
        <f t="shared" si="32"/>
        <v>66</v>
      </c>
      <c r="M109" s="180">
        <f t="shared" si="32"/>
        <v>37</v>
      </c>
      <c r="N109" s="180">
        <f t="shared" si="32"/>
        <v>35</v>
      </c>
      <c r="O109" s="180">
        <f t="shared" si="32"/>
        <v>35</v>
      </c>
      <c r="P109" s="180">
        <f t="shared" si="32"/>
        <v>34</v>
      </c>
      <c r="Q109" s="180">
        <f t="shared" si="32"/>
        <v>31</v>
      </c>
      <c r="R109" s="180">
        <f t="shared" si="32"/>
        <v>31</v>
      </c>
      <c r="S109" s="180">
        <f t="shared" si="32"/>
        <v>41</v>
      </c>
      <c r="T109" s="180">
        <f t="shared" si="32"/>
        <v>34</v>
      </c>
      <c r="U109" s="180">
        <f t="shared" si="32"/>
        <v>34</v>
      </c>
      <c r="V109" s="180">
        <f t="shared" si="32"/>
        <v>35</v>
      </c>
      <c r="W109" s="180">
        <f t="shared" si="32"/>
        <v>38</v>
      </c>
      <c r="X109" s="180">
        <f t="shared" si="32"/>
        <v>34</v>
      </c>
      <c r="Y109" s="180">
        <f t="shared" si="32"/>
        <v>35</v>
      </c>
      <c r="Z109" s="218">
        <f>SUM(B109:Y109)</f>
        <v>886</v>
      </c>
      <c r="AA109" s="317" t="s">
        <v>170</v>
      </c>
    </row>
    <row r="110" spans="1:29" x14ac:dyDescent="0.2">
      <c r="A110" s="184">
        <f>Economics!$I35</f>
        <v>1.96</v>
      </c>
      <c r="B110" s="188">
        <f t="shared" ref="B110:Y110" ca="1" si="33">IndGencost(B109,OFFSET(HeatRateStart,1,MATCH($A109,HeatRateNames,0)-1,250,1),$A110)</f>
        <v>21.354015945019448</v>
      </c>
      <c r="C110" s="188">
        <f t="shared" ca="1" si="33"/>
        <v>21.354015945019448</v>
      </c>
      <c r="D110" s="188">
        <f t="shared" ca="1" si="33"/>
        <v>21.354015945019448</v>
      </c>
      <c r="E110" s="188">
        <f ca="1">IndGencost(E109,OFFSET(HeatRateStart,1,MATCH($A109,HeatRateNames,0)-1,250,1),$A110)</f>
        <v>21.354015945019448</v>
      </c>
      <c r="F110" s="188">
        <f t="shared" ca="1" si="33"/>
        <v>21.285180414267952</v>
      </c>
      <c r="G110" s="188">
        <f t="shared" ca="1" si="33"/>
        <v>21.427652901889342</v>
      </c>
      <c r="H110" s="188">
        <f t="shared" ca="1" si="33"/>
        <v>20.51344949015704</v>
      </c>
      <c r="I110" s="188">
        <f t="shared" ca="1" si="33"/>
        <v>21.354015945019448</v>
      </c>
      <c r="J110" s="188">
        <f t="shared" ca="1" si="33"/>
        <v>21.103691779156737</v>
      </c>
      <c r="K110" s="188">
        <f t="shared" ca="1" si="33"/>
        <v>21.285180414267952</v>
      </c>
      <c r="L110" s="188">
        <f t="shared" ca="1" si="33"/>
        <v>20.342032638335954</v>
      </c>
      <c r="M110" s="188">
        <f t="shared" ca="1" si="33"/>
        <v>21.160356411838535</v>
      </c>
      <c r="N110" s="188">
        <f t="shared" ca="1" si="33"/>
        <v>21.285180414267952</v>
      </c>
      <c r="O110" s="188">
        <f t="shared" ca="1" si="33"/>
        <v>21.285180414267952</v>
      </c>
      <c r="P110" s="188">
        <f t="shared" ca="1" si="33"/>
        <v>21.354015945019448</v>
      </c>
      <c r="Q110" s="188">
        <f t="shared" ca="1" si="33"/>
        <v>21.59118971054631</v>
      </c>
      <c r="R110" s="188">
        <f t="shared" ca="1" si="33"/>
        <v>21.59118971054631</v>
      </c>
      <c r="S110" s="188">
        <f t="shared" ca="1" si="33"/>
        <v>20.953323041955436</v>
      </c>
      <c r="T110" s="188">
        <f t="shared" ca="1" si="33"/>
        <v>21.354015945019448</v>
      </c>
      <c r="U110" s="188">
        <f t="shared" ca="1" si="33"/>
        <v>21.354015945019448</v>
      </c>
      <c r="V110" s="188">
        <f t="shared" ca="1" si="33"/>
        <v>21.285180414267952</v>
      </c>
      <c r="W110" s="188">
        <f t="shared" ca="1" si="33"/>
        <v>21.103691779156737</v>
      </c>
      <c r="X110" s="188">
        <f t="shared" ca="1" si="33"/>
        <v>21.354015945019448</v>
      </c>
      <c r="Y110" s="188">
        <f t="shared" ca="1" si="33"/>
        <v>21.285180414267952</v>
      </c>
      <c r="Z110" s="258">
        <f t="array" aca="1" ref="Z110" ca="1">SUM(B109:Y109*B110:Y110)</f>
        <v>18766.696957251363</v>
      </c>
      <c r="AA110" s="317" t="s">
        <v>167</v>
      </c>
    </row>
    <row r="111" spans="1:29" x14ac:dyDescent="0.2">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
      <c r="A112" s="181"/>
      <c r="B112" s="189">
        <f t="shared" ref="B112:Y112" ca="1" si="34">IndGencost(B111,OFFSET(HeatRateStart,1,MATCH($A109,HeatRateNames,0)-1,250,1),$A110)</f>
        <v>21.59118971054631</v>
      </c>
      <c r="C112" s="189">
        <f t="shared" ca="1" si="34"/>
        <v>21.59118971054631</v>
      </c>
      <c r="D112" s="189">
        <f t="shared" ca="1" si="34"/>
        <v>21.59118971054631</v>
      </c>
      <c r="E112" s="189">
        <f ca="1">IndGencost(E111,OFFSET(HeatRateStart,1,MATCH($A109,HeatRateNames,0)-1,250,1),$A110)</f>
        <v>21.59118971054631</v>
      </c>
      <c r="F112" s="189">
        <f t="shared" ca="1" si="34"/>
        <v>21.59118971054631</v>
      </c>
      <c r="G112" s="189">
        <f t="shared" ca="1" si="34"/>
        <v>21.59118971054631</v>
      </c>
      <c r="H112" s="189">
        <f t="shared" ca="1" si="34"/>
        <v>21.59118971054631</v>
      </c>
      <c r="I112" s="189">
        <f t="shared" ca="1" si="34"/>
        <v>21.59118971054631</v>
      </c>
      <c r="J112" s="189">
        <f t="shared" ca="1" si="34"/>
        <v>21.59118971054631</v>
      </c>
      <c r="K112" s="189">
        <f t="shared" ca="1" si="34"/>
        <v>21.59118971054631</v>
      </c>
      <c r="L112" s="189">
        <f t="shared" ca="1" si="34"/>
        <v>21.59118971054631</v>
      </c>
      <c r="M112" s="189">
        <f t="shared" ca="1" si="34"/>
        <v>21.59118971054631</v>
      </c>
      <c r="N112" s="189">
        <f t="shared" ca="1" si="34"/>
        <v>21.59118971054631</v>
      </c>
      <c r="O112" s="189">
        <f t="shared" ca="1" si="34"/>
        <v>21.59118971054631</v>
      </c>
      <c r="P112" s="189">
        <f t="shared" ca="1" si="34"/>
        <v>21.59118971054631</v>
      </c>
      <c r="Q112" s="189">
        <f t="shared" ca="1" si="34"/>
        <v>21.59118971054631</v>
      </c>
      <c r="R112" s="189">
        <f t="shared" ca="1" si="34"/>
        <v>21.59118971054631</v>
      </c>
      <c r="S112" s="189">
        <f t="shared" ca="1" si="34"/>
        <v>21.59118971054631</v>
      </c>
      <c r="T112" s="189">
        <f t="shared" ca="1" si="34"/>
        <v>21.59118971054631</v>
      </c>
      <c r="U112" s="189">
        <f t="shared" ca="1" si="34"/>
        <v>21.59118971054631</v>
      </c>
      <c r="V112" s="189">
        <f t="shared" ca="1" si="34"/>
        <v>21.59118971054631</v>
      </c>
      <c r="W112" s="189">
        <f t="shared" ca="1" si="34"/>
        <v>21.59118971054631</v>
      </c>
      <c r="X112" s="189">
        <f t="shared" ca="1" si="34"/>
        <v>21.59118971054631</v>
      </c>
      <c r="Y112" s="189">
        <f t="shared" ca="1" si="34"/>
        <v>21.59118971054631</v>
      </c>
      <c r="Z112" s="257">
        <f t="array" aca="1" ref="Z112" ca="1">SUM(B111:Y111*B112:Y112)</f>
        <v>16063.845144646464</v>
      </c>
      <c r="AA112" s="159"/>
      <c r="AC112" s="173"/>
    </row>
    <row r="113" spans="1:29" ht="13.5" thickBot="1" x14ac:dyDescent="0.25">
      <c r="A113" s="186" t="s">
        <v>165</v>
      </c>
      <c r="B113" s="187">
        <f t="shared" ref="B113:Y113" ca="1" si="35">B112-B110</f>
        <v>0.23717376552686176</v>
      </c>
      <c r="C113" s="187">
        <f t="shared" ca="1" si="35"/>
        <v>0.23717376552686176</v>
      </c>
      <c r="D113" s="187">
        <f t="shared" ca="1" si="35"/>
        <v>0.23717376552686176</v>
      </c>
      <c r="E113" s="187">
        <f t="shared" ca="1" si="35"/>
        <v>0.23717376552686176</v>
      </c>
      <c r="F113" s="187">
        <f t="shared" ca="1" si="35"/>
        <v>0.30600929627835782</v>
      </c>
      <c r="G113" s="187">
        <f t="shared" ca="1" si="35"/>
        <v>0.16353680865696774</v>
      </c>
      <c r="H113" s="187">
        <f t="shared" ca="1" si="35"/>
        <v>1.0777402203892699</v>
      </c>
      <c r="I113" s="187">
        <f t="shared" ca="1" si="35"/>
        <v>0.23717376552686176</v>
      </c>
      <c r="J113" s="187">
        <f t="shared" ca="1" si="35"/>
        <v>0.48749793138957287</v>
      </c>
      <c r="K113" s="187">
        <f t="shared" ca="1" si="35"/>
        <v>0.30600929627835782</v>
      </c>
      <c r="L113" s="187">
        <f t="shared" ca="1" si="35"/>
        <v>1.2491570722103553</v>
      </c>
      <c r="M113" s="187">
        <f t="shared" ca="1" si="35"/>
        <v>0.43083329870777476</v>
      </c>
      <c r="N113" s="187">
        <f t="shared" ca="1" si="35"/>
        <v>0.30600929627835782</v>
      </c>
      <c r="O113" s="187">
        <f t="shared" ca="1" si="35"/>
        <v>0.30600929627835782</v>
      </c>
      <c r="P113" s="187">
        <f t="shared" ca="1" si="35"/>
        <v>0.23717376552686176</v>
      </c>
      <c r="Q113" s="187">
        <f t="shared" ca="1" si="35"/>
        <v>0</v>
      </c>
      <c r="R113" s="187">
        <f t="shared" ca="1" si="35"/>
        <v>0</v>
      </c>
      <c r="S113" s="187">
        <f t="shared" ca="1" si="35"/>
        <v>0.63786666859087404</v>
      </c>
      <c r="T113" s="187">
        <f t="shared" ca="1" si="35"/>
        <v>0.23717376552686176</v>
      </c>
      <c r="U113" s="187">
        <f t="shared" ca="1" si="35"/>
        <v>0.23717376552686176</v>
      </c>
      <c r="V113" s="187">
        <f t="shared" ca="1" si="35"/>
        <v>0.30600929627835782</v>
      </c>
      <c r="W113" s="187">
        <f t="shared" ca="1" si="35"/>
        <v>0.48749793138957287</v>
      </c>
      <c r="X113" s="187">
        <f t="shared" ca="1" si="35"/>
        <v>0.23717376552686176</v>
      </c>
      <c r="Y113" s="187">
        <f t="shared" ca="1" si="35"/>
        <v>0.30600929627835782</v>
      </c>
      <c r="Z113" s="259">
        <f ca="1">Z110-Z112</f>
        <v>2702.8518126048984</v>
      </c>
      <c r="AC113" s="173"/>
    </row>
    <row r="114" spans="1:29" x14ac:dyDescent="0.2">
      <c r="A114" s="182" t="str">
        <f>Economics!A36</f>
        <v>Newman 3</v>
      </c>
      <c r="B114" s="180">
        <f t="shared" ref="B114:Y114" si="36">B43</f>
        <v>36</v>
      </c>
      <c r="C114" s="180">
        <f t="shared" si="36"/>
        <v>35</v>
      </c>
      <c r="D114" s="180">
        <f t="shared" si="36"/>
        <v>35</v>
      </c>
      <c r="E114" s="180">
        <f>E43</f>
        <v>37</v>
      </c>
      <c r="F114" s="180">
        <f t="shared" si="36"/>
        <v>42</v>
      </c>
      <c r="G114" s="180">
        <f t="shared" si="36"/>
        <v>84</v>
      </c>
      <c r="H114" s="180">
        <f t="shared" si="36"/>
        <v>99</v>
      </c>
      <c r="I114" s="180">
        <f t="shared" si="36"/>
        <v>65</v>
      </c>
      <c r="J114" s="180">
        <f t="shared" si="36"/>
        <v>36</v>
      </c>
      <c r="K114" s="180">
        <f t="shared" si="36"/>
        <v>58</v>
      </c>
      <c r="L114" s="180">
        <f t="shared" si="36"/>
        <v>55</v>
      </c>
      <c r="M114" s="180">
        <f t="shared" si="36"/>
        <v>70</v>
      </c>
      <c r="N114" s="180">
        <f t="shared" si="36"/>
        <v>50</v>
      </c>
      <c r="O114" s="180">
        <f t="shared" si="36"/>
        <v>36</v>
      </c>
      <c r="P114" s="180">
        <f t="shared" si="36"/>
        <v>35</v>
      </c>
      <c r="Q114" s="180">
        <f t="shared" si="36"/>
        <v>35</v>
      </c>
      <c r="R114" s="180">
        <f t="shared" si="36"/>
        <v>45</v>
      </c>
      <c r="S114" s="180">
        <f t="shared" si="36"/>
        <v>35</v>
      </c>
      <c r="T114" s="180">
        <f t="shared" si="36"/>
        <v>90</v>
      </c>
      <c r="U114" s="180">
        <f t="shared" si="36"/>
        <v>64</v>
      </c>
      <c r="V114" s="180">
        <f t="shared" si="36"/>
        <v>56</v>
      </c>
      <c r="W114" s="180">
        <f t="shared" si="36"/>
        <v>77</v>
      </c>
      <c r="X114" s="180">
        <f t="shared" si="36"/>
        <v>34</v>
      </c>
      <c r="Y114" s="180">
        <f t="shared" si="36"/>
        <v>36</v>
      </c>
      <c r="Z114" s="218">
        <f>SUM(B114:Y114)</f>
        <v>1245</v>
      </c>
      <c r="AA114" s="317" t="s">
        <v>172</v>
      </c>
    </row>
    <row r="115" spans="1:29" x14ac:dyDescent="0.2">
      <c r="A115" s="184">
        <f>Economics!$I36</f>
        <v>1.96</v>
      </c>
      <c r="B115" s="188">
        <f t="shared" ref="B115:Y115" ca="1" si="37">IndGencost(B114,OFFSET(HeatRateStart,1,MATCH($A114,HeatRateNames,0)-1,250,1),$A115)</f>
        <v>21.647002643532225</v>
      </c>
      <c r="C115" s="188">
        <f t="shared" ca="1" si="37"/>
        <v>21.778120423861914</v>
      </c>
      <c r="D115" s="188">
        <f t="shared" ca="1" si="37"/>
        <v>21.778120423861914</v>
      </c>
      <c r="E115" s="188">
        <f ca="1">IndGencost(E114,OFFSET(HeatRateStart,1,MATCH($A114,HeatRateNames,0)-1,250,1),$A115)</f>
        <v>21.524349608112029</v>
      </c>
      <c r="F115" s="188">
        <f t="shared" ca="1" si="37"/>
        <v>21.01689374237969</v>
      </c>
      <c r="G115" s="188">
        <f t="shared" ca="1" si="37"/>
        <v>19.738087050823935</v>
      </c>
      <c r="H115" s="188">
        <f t="shared" ca="1" si="37"/>
        <v>19.764383010931688</v>
      </c>
      <c r="I115" s="188">
        <f t="shared" ca="1" si="37"/>
        <v>19.940588080406187</v>
      </c>
      <c r="J115" s="188">
        <f t="shared" ca="1" si="37"/>
        <v>21.647002643532225</v>
      </c>
      <c r="K115" s="188">
        <f t="shared" ca="1" si="37"/>
        <v>20.128592115895497</v>
      </c>
      <c r="L115" s="188">
        <f t="shared" ca="1" si="37"/>
        <v>20.237713121154094</v>
      </c>
      <c r="M115" s="188">
        <f t="shared" ca="1" si="37"/>
        <v>19.851160386357989</v>
      </c>
      <c r="N115" s="188">
        <f t="shared" ca="1" si="37"/>
        <v>20.469064398384099</v>
      </c>
      <c r="O115" s="188">
        <f t="shared" ca="1" si="37"/>
        <v>21.647002643532225</v>
      </c>
      <c r="P115" s="188">
        <f t="shared" ca="1" si="37"/>
        <v>21.778120423861914</v>
      </c>
      <c r="Q115" s="188">
        <f t="shared" ca="1" si="37"/>
        <v>21.778120423861914</v>
      </c>
      <c r="R115" s="188">
        <f t="shared" ca="1" si="37"/>
        <v>20.780138182216223</v>
      </c>
      <c r="S115" s="188">
        <f t="shared" ca="1" si="37"/>
        <v>21.778120423861914</v>
      </c>
      <c r="T115" s="188">
        <f t="shared" ca="1" si="37"/>
        <v>19.734369272973801</v>
      </c>
      <c r="U115" s="188">
        <f t="shared" ca="1" si="37"/>
        <v>19.962539138525727</v>
      </c>
      <c r="V115" s="188">
        <f t="shared" ca="1" si="37"/>
        <v>20.199130393130442</v>
      </c>
      <c r="W115" s="188">
        <f t="shared" ca="1" si="37"/>
        <v>19.773269475751107</v>
      </c>
      <c r="X115" s="188">
        <f t="shared" ca="1" si="37"/>
        <v>21.918449838357816</v>
      </c>
      <c r="Y115" s="188">
        <f t="shared" ca="1" si="37"/>
        <v>21.647002643532225</v>
      </c>
      <c r="Z115" s="258">
        <f t="array" aca="1" ref="Z115" ca="1">SUM(B114:Y114*B115:Y115)</f>
        <v>25599.550698237414</v>
      </c>
      <c r="AA115" s="317" t="s">
        <v>167</v>
      </c>
    </row>
    <row r="116" spans="1:29" x14ac:dyDescent="0.2">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
      <c r="A117" s="181"/>
      <c r="B117" s="189">
        <f t="shared" ref="B117:Y117" ca="1" si="38">IndGencost(B116,OFFSET(HeatRateStart,1,MATCH($A114,HeatRateNames,0)-1,250,1),$A115)</f>
        <v>0</v>
      </c>
      <c r="C117" s="189">
        <f t="shared" ca="1" si="38"/>
        <v>0</v>
      </c>
      <c r="D117" s="189">
        <f t="shared" ca="1" si="38"/>
        <v>0</v>
      </c>
      <c r="E117" s="189">
        <f ca="1">IndGencost(E116,OFFSET(HeatRateStart,1,MATCH($A114,HeatRateNames,0)-1,250,1),$A115)</f>
        <v>0</v>
      </c>
      <c r="F117" s="189">
        <f t="shared" ca="1" si="38"/>
        <v>0</v>
      </c>
      <c r="G117" s="189">
        <f t="shared" ca="1" si="38"/>
        <v>0</v>
      </c>
      <c r="H117" s="189">
        <f t="shared" ca="1" si="38"/>
        <v>0</v>
      </c>
      <c r="I117" s="189">
        <f t="shared" ca="1" si="38"/>
        <v>0</v>
      </c>
      <c r="J117" s="189">
        <f t="shared" ca="1" si="38"/>
        <v>0</v>
      </c>
      <c r="K117" s="189">
        <f t="shared" ca="1" si="38"/>
        <v>0</v>
      </c>
      <c r="L117" s="189">
        <f t="shared" ca="1" si="38"/>
        <v>0</v>
      </c>
      <c r="M117" s="189">
        <f t="shared" ca="1" si="38"/>
        <v>0</v>
      </c>
      <c r="N117" s="189">
        <f t="shared" ca="1" si="38"/>
        <v>0</v>
      </c>
      <c r="O117" s="189">
        <f t="shared" ca="1" si="38"/>
        <v>0</v>
      </c>
      <c r="P117" s="189">
        <f t="shared" ca="1" si="38"/>
        <v>0</v>
      </c>
      <c r="Q117" s="189">
        <f t="shared" ca="1" si="38"/>
        <v>0</v>
      </c>
      <c r="R117" s="189">
        <f t="shared" ca="1" si="38"/>
        <v>0</v>
      </c>
      <c r="S117" s="189">
        <f t="shared" ca="1" si="38"/>
        <v>0</v>
      </c>
      <c r="T117" s="189">
        <f t="shared" ca="1" si="38"/>
        <v>0</v>
      </c>
      <c r="U117" s="189">
        <f t="shared" ca="1" si="38"/>
        <v>0</v>
      </c>
      <c r="V117" s="189">
        <f t="shared" ca="1" si="38"/>
        <v>0</v>
      </c>
      <c r="W117" s="189">
        <f t="shared" ca="1" si="38"/>
        <v>0</v>
      </c>
      <c r="X117" s="189">
        <f t="shared" ca="1" si="38"/>
        <v>0</v>
      </c>
      <c r="Y117" s="189">
        <f t="shared" ca="1" si="38"/>
        <v>0</v>
      </c>
      <c r="Z117" s="257">
        <f t="array" aca="1" ref="Z117" ca="1">SUM(B116:Y116*B117:Y117)</f>
        <v>0</v>
      </c>
      <c r="AA117" s="159"/>
    </row>
    <row r="118" spans="1:29" ht="13.5" thickBot="1" x14ac:dyDescent="0.25">
      <c r="A118" s="186" t="s">
        <v>165</v>
      </c>
      <c r="B118" s="187">
        <f t="shared" ref="B118:Y118" ca="1" si="39">B117-B115</f>
        <v>-21.647002643532225</v>
      </c>
      <c r="C118" s="187">
        <f t="shared" ca="1" si="39"/>
        <v>-21.778120423861914</v>
      </c>
      <c r="D118" s="187">
        <f t="shared" ca="1" si="39"/>
        <v>-21.778120423861914</v>
      </c>
      <c r="E118" s="187">
        <f t="shared" ca="1" si="39"/>
        <v>-21.524349608112029</v>
      </c>
      <c r="F118" s="187">
        <f t="shared" ca="1" si="39"/>
        <v>-21.01689374237969</v>
      </c>
      <c r="G118" s="187">
        <f t="shared" ca="1" si="39"/>
        <v>-19.738087050823935</v>
      </c>
      <c r="H118" s="187">
        <f t="shared" ca="1" si="39"/>
        <v>-19.764383010931688</v>
      </c>
      <c r="I118" s="187">
        <f t="shared" ca="1" si="39"/>
        <v>-19.940588080406187</v>
      </c>
      <c r="J118" s="187">
        <f t="shared" ca="1" si="39"/>
        <v>-21.647002643532225</v>
      </c>
      <c r="K118" s="187">
        <f t="shared" ca="1" si="39"/>
        <v>-20.128592115895497</v>
      </c>
      <c r="L118" s="187">
        <f t="shared" ca="1" si="39"/>
        <v>-20.237713121154094</v>
      </c>
      <c r="M118" s="187">
        <f t="shared" ca="1" si="39"/>
        <v>-19.851160386357989</v>
      </c>
      <c r="N118" s="187">
        <f t="shared" ca="1" si="39"/>
        <v>-20.469064398384099</v>
      </c>
      <c r="O118" s="187">
        <f t="shared" ca="1" si="39"/>
        <v>-21.647002643532225</v>
      </c>
      <c r="P118" s="187">
        <f t="shared" ca="1" si="39"/>
        <v>-21.778120423861914</v>
      </c>
      <c r="Q118" s="187">
        <f t="shared" ca="1" si="39"/>
        <v>-21.778120423861914</v>
      </c>
      <c r="R118" s="187">
        <f t="shared" ca="1" si="39"/>
        <v>-20.780138182216223</v>
      </c>
      <c r="S118" s="187">
        <f t="shared" ca="1" si="39"/>
        <v>-21.778120423861914</v>
      </c>
      <c r="T118" s="187">
        <f t="shared" ca="1" si="39"/>
        <v>-19.734369272973801</v>
      </c>
      <c r="U118" s="187">
        <f t="shared" ca="1" si="39"/>
        <v>-19.962539138525727</v>
      </c>
      <c r="V118" s="187">
        <f t="shared" ca="1" si="39"/>
        <v>-20.199130393130442</v>
      </c>
      <c r="W118" s="187">
        <f t="shared" ca="1" si="39"/>
        <v>-19.773269475751107</v>
      </c>
      <c r="X118" s="187">
        <f t="shared" ca="1" si="39"/>
        <v>-21.918449838357816</v>
      </c>
      <c r="Y118" s="187">
        <f t="shared" ca="1" si="39"/>
        <v>-21.647002643532225</v>
      </c>
      <c r="Z118" s="259">
        <f ca="1">Z115-Z117</f>
        <v>25599.550698237414</v>
      </c>
    </row>
    <row r="119" spans="1:29" x14ac:dyDescent="0.2">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
      <c r="A120" s="184">
        <f>Economics!$I37</f>
        <v>1.96</v>
      </c>
      <c r="B120" s="188">
        <f t="shared" ref="B120:Y120" ca="1" si="41">IndGencost(B119,OFFSET(HeatRateStart,1,MATCH($A119,HeatRateNames,0)-1,250,1),$A120)</f>
        <v>0</v>
      </c>
      <c r="C120" s="188">
        <f t="shared" ca="1" si="41"/>
        <v>0</v>
      </c>
      <c r="D120" s="188">
        <f t="shared" ca="1" si="41"/>
        <v>0</v>
      </c>
      <c r="E120" s="188">
        <f ca="1">IndGencost(E119,OFFSET(HeatRateStart,1,MATCH($A119,HeatRateNames,0)-1,250,1),$A120)</f>
        <v>0</v>
      </c>
      <c r="F120" s="188">
        <f t="shared" ca="1" si="41"/>
        <v>0</v>
      </c>
      <c r="G120" s="188">
        <f t="shared" ca="1" si="41"/>
        <v>0</v>
      </c>
      <c r="H120" s="188">
        <f t="shared" ca="1" si="41"/>
        <v>0</v>
      </c>
      <c r="I120" s="188">
        <f t="shared" ca="1" si="41"/>
        <v>0</v>
      </c>
      <c r="J120" s="188">
        <f t="shared" ca="1" si="41"/>
        <v>0</v>
      </c>
      <c r="K120" s="188">
        <f t="shared" ca="1" si="41"/>
        <v>0</v>
      </c>
      <c r="L120" s="188">
        <f t="shared" ca="1" si="41"/>
        <v>0</v>
      </c>
      <c r="M120" s="188">
        <f t="shared" ca="1" si="41"/>
        <v>0</v>
      </c>
      <c r="N120" s="188">
        <f t="shared" ca="1" si="41"/>
        <v>0</v>
      </c>
      <c r="O120" s="188">
        <f t="shared" ca="1" si="41"/>
        <v>0</v>
      </c>
      <c r="P120" s="188">
        <f t="shared" ca="1" si="41"/>
        <v>0</v>
      </c>
      <c r="Q120" s="188">
        <f t="shared" ca="1" si="41"/>
        <v>0</v>
      </c>
      <c r="R120" s="188">
        <f t="shared" ca="1" si="41"/>
        <v>0</v>
      </c>
      <c r="S120" s="188">
        <f t="shared" ca="1" si="41"/>
        <v>0</v>
      </c>
      <c r="T120" s="188">
        <f t="shared" ca="1" si="41"/>
        <v>0</v>
      </c>
      <c r="U120" s="188">
        <f t="shared" ca="1" si="41"/>
        <v>0</v>
      </c>
      <c r="V120" s="188">
        <f t="shared" ca="1" si="41"/>
        <v>0</v>
      </c>
      <c r="W120" s="188">
        <f t="shared" ca="1" si="41"/>
        <v>0</v>
      </c>
      <c r="X120" s="188">
        <f t="shared" ca="1" si="41"/>
        <v>0</v>
      </c>
      <c r="Y120" s="188">
        <f t="shared" ca="1" si="41"/>
        <v>0</v>
      </c>
      <c r="Z120" s="258">
        <f t="array" aca="1" ref="Z120" ca="1">SUM(B119:Y119*B120:Y120)</f>
        <v>0</v>
      </c>
      <c r="AA120" s="317" t="s">
        <v>167</v>
      </c>
    </row>
    <row r="121" spans="1:29" x14ac:dyDescent="0.2">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
      <c r="A122" s="181"/>
      <c r="B122" s="189">
        <f t="shared" ref="B122:Y122" ca="1" si="43">IndGencost(B121,OFFSET(HeatRateStart,1,MATCH($A119,HeatRateNames,0)-1,250,1),$A120)</f>
        <v>0</v>
      </c>
      <c r="C122" s="189">
        <f t="shared" ca="1" si="43"/>
        <v>0</v>
      </c>
      <c r="D122" s="189">
        <f t="shared" ca="1" si="43"/>
        <v>0</v>
      </c>
      <c r="E122" s="189">
        <f ca="1">IndGencost(E121,OFFSET(HeatRateStart,1,MATCH($A119,HeatRateNames,0)-1,250,1),$A120)</f>
        <v>0</v>
      </c>
      <c r="F122" s="189">
        <f t="shared" ca="1" si="43"/>
        <v>0</v>
      </c>
      <c r="G122" s="189">
        <f t="shared" ca="1" si="43"/>
        <v>0</v>
      </c>
      <c r="H122" s="189">
        <f t="shared" ca="1" si="43"/>
        <v>0</v>
      </c>
      <c r="I122" s="189">
        <f t="shared" ca="1" si="43"/>
        <v>0</v>
      </c>
      <c r="J122" s="189">
        <f t="shared" ca="1" si="43"/>
        <v>0</v>
      </c>
      <c r="K122" s="189">
        <f t="shared" ca="1" si="43"/>
        <v>0</v>
      </c>
      <c r="L122" s="189">
        <f t="shared" ca="1" si="43"/>
        <v>0</v>
      </c>
      <c r="M122" s="189">
        <f t="shared" ca="1" si="43"/>
        <v>0</v>
      </c>
      <c r="N122" s="189">
        <f t="shared" ca="1" si="43"/>
        <v>0</v>
      </c>
      <c r="O122" s="189">
        <f t="shared" ca="1" si="43"/>
        <v>0</v>
      </c>
      <c r="P122" s="189">
        <f t="shared" ca="1" si="43"/>
        <v>0</v>
      </c>
      <c r="Q122" s="189">
        <f t="shared" ca="1" si="43"/>
        <v>0</v>
      </c>
      <c r="R122" s="189">
        <f t="shared" ca="1" si="43"/>
        <v>0</v>
      </c>
      <c r="S122" s="189">
        <f t="shared" ca="1" si="43"/>
        <v>0</v>
      </c>
      <c r="T122" s="189">
        <f t="shared" ca="1" si="43"/>
        <v>0</v>
      </c>
      <c r="U122" s="189">
        <f t="shared" ca="1" si="43"/>
        <v>0</v>
      </c>
      <c r="V122" s="189">
        <f t="shared" ca="1" si="43"/>
        <v>0</v>
      </c>
      <c r="W122" s="189">
        <f t="shared" ca="1" si="43"/>
        <v>0</v>
      </c>
      <c r="X122" s="189">
        <f t="shared" ca="1" si="43"/>
        <v>0</v>
      </c>
      <c r="Y122" s="189">
        <f t="shared" ca="1" si="43"/>
        <v>0</v>
      </c>
      <c r="Z122" s="257">
        <f t="array" aca="1" ref="Z122" ca="1">SUM(B121:Y121*B122:Y122)</f>
        <v>0</v>
      </c>
    </row>
    <row r="123" spans="1:29" ht="13.5" thickBot="1" x14ac:dyDescent="0.25">
      <c r="A123" s="186" t="s">
        <v>165</v>
      </c>
      <c r="B123" s="187">
        <f t="shared" ref="B123:Y123" ca="1" si="44">B122-B120</f>
        <v>0</v>
      </c>
      <c r="C123" s="187">
        <f t="shared" ca="1" si="44"/>
        <v>0</v>
      </c>
      <c r="D123" s="187">
        <f t="shared" ca="1" si="44"/>
        <v>0</v>
      </c>
      <c r="E123" s="187">
        <f t="shared" ca="1" si="44"/>
        <v>0</v>
      </c>
      <c r="F123" s="187">
        <f t="shared" ca="1" si="44"/>
        <v>0</v>
      </c>
      <c r="G123" s="187">
        <f t="shared" ca="1" si="44"/>
        <v>0</v>
      </c>
      <c r="H123" s="187">
        <f t="shared" ca="1" si="44"/>
        <v>0</v>
      </c>
      <c r="I123" s="187">
        <f t="shared" ca="1" si="44"/>
        <v>0</v>
      </c>
      <c r="J123" s="187">
        <f t="shared" ca="1" si="44"/>
        <v>0</v>
      </c>
      <c r="K123" s="187">
        <f t="shared" ca="1" si="44"/>
        <v>0</v>
      </c>
      <c r="L123" s="187">
        <f t="shared" ca="1" si="44"/>
        <v>0</v>
      </c>
      <c r="M123" s="187">
        <f t="shared" ca="1" si="44"/>
        <v>0</v>
      </c>
      <c r="N123" s="187">
        <f t="shared" ca="1" si="44"/>
        <v>0</v>
      </c>
      <c r="O123" s="187">
        <f t="shared" ca="1" si="44"/>
        <v>0</v>
      </c>
      <c r="P123" s="187">
        <f t="shared" ca="1" si="44"/>
        <v>0</v>
      </c>
      <c r="Q123" s="187">
        <f t="shared" ca="1" si="44"/>
        <v>0</v>
      </c>
      <c r="R123" s="187">
        <f t="shared" ca="1" si="44"/>
        <v>0</v>
      </c>
      <c r="S123" s="187">
        <f t="shared" ca="1" si="44"/>
        <v>0</v>
      </c>
      <c r="T123" s="187">
        <f t="shared" ca="1" si="44"/>
        <v>0</v>
      </c>
      <c r="U123" s="187">
        <f t="shared" ca="1" si="44"/>
        <v>0</v>
      </c>
      <c r="V123" s="187">
        <f t="shared" ca="1" si="44"/>
        <v>0</v>
      </c>
      <c r="W123" s="187">
        <f t="shared" ca="1" si="44"/>
        <v>0</v>
      </c>
      <c r="X123" s="187">
        <f t="shared" ca="1" si="44"/>
        <v>0</v>
      </c>
      <c r="Y123" s="187">
        <f t="shared" ca="1" si="44"/>
        <v>0</v>
      </c>
      <c r="Z123" s="259">
        <f ca="1">Z120-Z122</f>
        <v>0</v>
      </c>
    </row>
    <row r="124" spans="1:29" x14ac:dyDescent="0.2">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20</v>
      </c>
      <c r="I124" s="180">
        <f t="shared" si="45"/>
        <v>0</v>
      </c>
      <c r="J124" s="180">
        <f t="shared" si="45"/>
        <v>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0</v>
      </c>
      <c r="Z124" s="218">
        <f>SUM(B124:Y124)</f>
        <v>140</v>
      </c>
      <c r="AA124" s="317" t="s">
        <v>174</v>
      </c>
    </row>
    <row r="125" spans="1:29" x14ac:dyDescent="0.2">
      <c r="A125" s="184">
        <f>Economics!$I38</f>
        <v>1.96</v>
      </c>
      <c r="B125" s="188">
        <f t="shared" ref="B125:Y125" ca="1" si="46">IndGencost(B124,OFFSET(HeatRateStart,1,MATCH($A124,HeatRateNames,0)-1,250,1),$A125)</f>
        <v>33.930736660385129</v>
      </c>
      <c r="C125" s="188">
        <f t="shared" ca="1" si="46"/>
        <v>33.930736660385129</v>
      </c>
      <c r="D125" s="188">
        <f t="shared" ca="1" si="46"/>
        <v>33.930736660385129</v>
      </c>
      <c r="E125" s="188">
        <f ca="1">IndGencost(E124,OFFSET(HeatRateStart,1,MATCH($A124,HeatRateNames,0)-1,250,1),$A125)</f>
        <v>33.930736660385129</v>
      </c>
      <c r="F125" s="188">
        <f t="shared" ca="1" si="46"/>
        <v>33.930736660385129</v>
      </c>
      <c r="G125" s="188">
        <f t="shared" ca="1" si="46"/>
        <v>33.930736660385129</v>
      </c>
      <c r="H125" s="188">
        <f t="shared" ca="1" si="46"/>
        <v>33.930736660385129</v>
      </c>
      <c r="I125" s="188">
        <f t="shared" ca="1" si="46"/>
        <v>0</v>
      </c>
      <c r="J125" s="188">
        <f t="shared" ca="1" si="46"/>
        <v>0</v>
      </c>
      <c r="K125" s="188">
        <f t="shared" ca="1" si="46"/>
        <v>0</v>
      </c>
      <c r="L125" s="188">
        <f t="shared" ca="1" si="46"/>
        <v>0</v>
      </c>
      <c r="M125" s="188">
        <f t="shared" ca="1" si="46"/>
        <v>0</v>
      </c>
      <c r="N125" s="188">
        <f t="shared" ca="1" si="46"/>
        <v>0</v>
      </c>
      <c r="O125" s="188">
        <f t="shared" ca="1" si="46"/>
        <v>0</v>
      </c>
      <c r="P125" s="188">
        <f t="shared" ca="1" si="46"/>
        <v>0</v>
      </c>
      <c r="Q125" s="188">
        <f t="shared" ca="1" si="46"/>
        <v>0</v>
      </c>
      <c r="R125" s="188">
        <f t="shared" ca="1" si="46"/>
        <v>0</v>
      </c>
      <c r="S125" s="188">
        <f t="shared" ca="1" si="46"/>
        <v>0</v>
      </c>
      <c r="T125" s="188">
        <f t="shared" ca="1" si="46"/>
        <v>0</v>
      </c>
      <c r="U125" s="188">
        <f t="shared" ca="1" si="46"/>
        <v>0</v>
      </c>
      <c r="V125" s="188">
        <f t="shared" ca="1" si="46"/>
        <v>0</v>
      </c>
      <c r="W125" s="188">
        <f t="shared" ca="1" si="46"/>
        <v>0</v>
      </c>
      <c r="X125" s="188">
        <f t="shared" ca="1" si="46"/>
        <v>0</v>
      </c>
      <c r="Y125" s="188">
        <f t="shared" ca="1" si="46"/>
        <v>0</v>
      </c>
      <c r="Z125" s="258">
        <f t="array" aca="1" ref="Z125" ca="1">SUM(B124:Y124*B125:Y125)</f>
        <v>4750.3031324539179</v>
      </c>
      <c r="AA125" s="317" t="s">
        <v>167</v>
      </c>
    </row>
    <row r="126" spans="1:29" x14ac:dyDescent="0.2">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20</v>
      </c>
      <c r="I126" s="185">
        <f t="shared" si="47"/>
        <v>0</v>
      </c>
      <c r="J126" s="185">
        <f t="shared" si="47"/>
        <v>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0</v>
      </c>
      <c r="Z126" s="219">
        <f>SUM(B126:Y126)</f>
        <v>140</v>
      </c>
    </row>
    <row r="127" spans="1:29" x14ac:dyDescent="0.2">
      <c r="A127" s="181"/>
      <c r="B127" s="189">
        <f t="shared" ref="B127:Y127" ca="1" si="48">IndGencost(B126,OFFSET(HeatRateStart,1,MATCH($A124,HeatRateNames,0)-1,250,1),$A125)</f>
        <v>33.930736660385129</v>
      </c>
      <c r="C127" s="189">
        <f t="shared" ca="1" si="48"/>
        <v>33.930736660385129</v>
      </c>
      <c r="D127" s="189">
        <f t="shared" ca="1" si="48"/>
        <v>33.930736660385129</v>
      </c>
      <c r="E127" s="189">
        <f ca="1">IndGencost(E126,OFFSET(HeatRateStart,1,MATCH($A124,HeatRateNames,0)-1,250,1),$A125)</f>
        <v>33.930736660385129</v>
      </c>
      <c r="F127" s="189">
        <f t="shared" ca="1" si="48"/>
        <v>33.930736660385129</v>
      </c>
      <c r="G127" s="189">
        <f t="shared" ca="1" si="48"/>
        <v>33.930736660385129</v>
      </c>
      <c r="H127" s="189">
        <f t="shared" ca="1" si="48"/>
        <v>33.930736660385129</v>
      </c>
      <c r="I127" s="189">
        <f t="shared" ca="1" si="48"/>
        <v>0</v>
      </c>
      <c r="J127" s="189">
        <f t="shared" ca="1" si="48"/>
        <v>0</v>
      </c>
      <c r="K127" s="189">
        <f t="shared" ca="1" si="48"/>
        <v>0</v>
      </c>
      <c r="L127" s="189">
        <f t="shared" ca="1" si="48"/>
        <v>0</v>
      </c>
      <c r="M127" s="189">
        <f t="shared" ca="1" si="48"/>
        <v>0</v>
      </c>
      <c r="N127" s="189">
        <f t="shared" ca="1" si="48"/>
        <v>0</v>
      </c>
      <c r="O127" s="189">
        <f t="shared" ca="1" si="48"/>
        <v>0</v>
      </c>
      <c r="P127" s="189">
        <f t="shared" ca="1" si="48"/>
        <v>0</v>
      </c>
      <c r="Q127" s="189">
        <f t="shared" ca="1" si="48"/>
        <v>0</v>
      </c>
      <c r="R127" s="189">
        <f t="shared" ca="1" si="48"/>
        <v>0</v>
      </c>
      <c r="S127" s="189">
        <f t="shared" ca="1" si="48"/>
        <v>0</v>
      </c>
      <c r="T127" s="189">
        <f t="shared" ca="1" si="48"/>
        <v>0</v>
      </c>
      <c r="U127" s="189">
        <f t="shared" ca="1" si="48"/>
        <v>0</v>
      </c>
      <c r="V127" s="189">
        <f t="shared" ca="1" si="48"/>
        <v>0</v>
      </c>
      <c r="W127" s="189">
        <f t="shared" ca="1" si="48"/>
        <v>0</v>
      </c>
      <c r="X127" s="189">
        <f t="shared" ca="1" si="48"/>
        <v>0</v>
      </c>
      <c r="Y127" s="189">
        <f t="shared" ca="1" si="48"/>
        <v>0</v>
      </c>
      <c r="Z127" s="257">
        <f t="array" aca="1" ref="Z127" ca="1">SUM(B126:Y126*B127:Y127)</f>
        <v>4750.3031324539179</v>
      </c>
    </row>
    <row r="128" spans="1:29" ht="13.5" thickBot="1" x14ac:dyDescent="0.25">
      <c r="A128" s="186" t="s">
        <v>165</v>
      </c>
      <c r="B128" s="187">
        <f t="shared" ref="B128:Y128" ca="1" si="49">B127-B125</f>
        <v>0</v>
      </c>
      <c r="C128" s="187">
        <f t="shared" ca="1" si="49"/>
        <v>0</v>
      </c>
      <c r="D128" s="187">
        <f t="shared" ca="1" si="49"/>
        <v>0</v>
      </c>
      <c r="E128" s="187">
        <f t="shared" ca="1" si="49"/>
        <v>0</v>
      </c>
      <c r="F128" s="187">
        <f t="shared" ca="1" si="49"/>
        <v>0</v>
      </c>
      <c r="G128" s="187">
        <f t="shared" ca="1" si="49"/>
        <v>0</v>
      </c>
      <c r="H128" s="187">
        <f t="shared" ca="1" si="49"/>
        <v>0</v>
      </c>
      <c r="I128" s="187">
        <f t="shared" ca="1" si="49"/>
        <v>0</v>
      </c>
      <c r="J128" s="187">
        <f t="shared" ca="1" si="49"/>
        <v>0</v>
      </c>
      <c r="K128" s="187">
        <f t="shared" ca="1" si="49"/>
        <v>0</v>
      </c>
      <c r="L128" s="187">
        <f t="shared" ca="1" si="49"/>
        <v>0</v>
      </c>
      <c r="M128" s="187">
        <f t="shared" ca="1" si="49"/>
        <v>0</v>
      </c>
      <c r="N128" s="187">
        <f t="shared" ca="1" si="49"/>
        <v>0</v>
      </c>
      <c r="O128" s="187">
        <f t="shared" ca="1" si="49"/>
        <v>0</v>
      </c>
      <c r="P128" s="187">
        <f t="shared" ca="1" si="49"/>
        <v>0</v>
      </c>
      <c r="Q128" s="187">
        <f t="shared" ca="1" si="49"/>
        <v>0</v>
      </c>
      <c r="R128" s="187">
        <f t="shared" ca="1" si="49"/>
        <v>0</v>
      </c>
      <c r="S128" s="187">
        <f t="shared" ca="1" si="49"/>
        <v>0</v>
      </c>
      <c r="T128" s="187">
        <f t="shared" ca="1" si="49"/>
        <v>0</v>
      </c>
      <c r="U128" s="187">
        <f t="shared" ca="1" si="49"/>
        <v>0</v>
      </c>
      <c r="V128" s="187">
        <f t="shared" ca="1" si="49"/>
        <v>0</v>
      </c>
      <c r="W128" s="187">
        <f t="shared" ca="1" si="49"/>
        <v>0</v>
      </c>
      <c r="X128" s="187">
        <f t="shared" ca="1" si="49"/>
        <v>0</v>
      </c>
      <c r="Y128" s="187">
        <f t="shared" ca="1" si="49"/>
        <v>0</v>
      </c>
      <c r="Z128" s="259">
        <f ca="1">Z125-Z127</f>
        <v>0</v>
      </c>
    </row>
    <row r="129" spans="1:27" x14ac:dyDescent="0.2">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
      <c r="A130" s="184">
        <f>Economics!$I39</f>
        <v>1.96</v>
      </c>
      <c r="B130" s="188">
        <f t="shared" ref="B130:Y130" ca="1" si="51">IndGencost(B129,OFFSET(HeatRateStart,1,MATCH($A129,HeatRateNames,0)-1,250,1),$A130)</f>
        <v>0</v>
      </c>
      <c r="C130" s="188">
        <f t="shared" ca="1" si="51"/>
        <v>0</v>
      </c>
      <c r="D130" s="188">
        <f t="shared" ca="1" si="51"/>
        <v>0</v>
      </c>
      <c r="E130" s="188">
        <f ca="1">IndGencost(E129,OFFSET(HeatRateStart,1,MATCH($A129,HeatRateNames,0)-1,250,1),$A130)</f>
        <v>0</v>
      </c>
      <c r="F130" s="188">
        <f t="shared" ca="1" si="51"/>
        <v>0</v>
      </c>
      <c r="G130" s="188">
        <f t="shared" ca="1" si="51"/>
        <v>0</v>
      </c>
      <c r="H130" s="188">
        <f t="shared" ca="1" si="51"/>
        <v>0</v>
      </c>
      <c r="I130" s="188">
        <f t="shared" ca="1" si="51"/>
        <v>0</v>
      </c>
      <c r="J130" s="188">
        <f t="shared" ca="1" si="51"/>
        <v>0</v>
      </c>
      <c r="K130" s="188">
        <f t="shared" ca="1" si="51"/>
        <v>0</v>
      </c>
      <c r="L130" s="188">
        <f t="shared" ca="1" si="51"/>
        <v>0</v>
      </c>
      <c r="M130" s="188">
        <f t="shared" ca="1" si="51"/>
        <v>0</v>
      </c>
      <c r="N130" s="188">
        <f t="shared" ca="1" si="51"/>
        <v>0</v>
      </c>
      <c r="O130" s="188">
        <f t="shared" ca="1" si="51"/>
        <v>0</v>
      </c>
      <c r="P130" s="188">
        <f t="shared" ca="1" si="51"/>
        <v>0</v>
      </c>
      <c r="Q130" s="188">
        <f t="shared" ca="1" si="51"/>
        <v>0</v>
      </c>
      <c r="R130" s="188">
        <f t="shared" ca="1" si="51"/>
        <v>0</v>
      </c>
      <c r="S130" s="188">
        <f t="shared" ca="1" si="51"/>
        <v>0</v>
      </c>
      <c r="T130" s="188">
        <f t="shared" ca="1" si="51"/>
        <v>0</v>
      </c>
      <c r="U130" s="188">
        <f t="shared" ca="1" si="51"/>
        <v>0</v>
      </c>
      <c r="V130" s="188">
        <f t="shared" ca="1" si="51"/>
        <v>0</v>
      </c>
      <c r="W130" s="188">
        <f t="shared" ca="1" si="51"/>
        <v>0</v>
      </c>
      <c r="X130" s="188">
        <f t="shared" ca="1" si="51"/>
        <v>0</v>
      </c>
      <c r="Y130" s="188">
        <f t="shared" ca="1" si="51"/>
        <v>0</v>
      </c>
      <c r="Z130" s="258">
        <f t="array" aca="1" ref="Z130" ca="1">SUM(B129:Y129*B130:Y130)</f>
        <v>0</v>
      </c>
      <c r="AA130" s="317" t="s">
        <v>167</v>
      </c>
    </row>
    <row r="131" spans="1:27" x14ac:dyDescent="0.2">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
      <c r="A132" s="181"/>
      <c r="B132" s="189">
        <f t="shared" ref="B132:Y132" ca="1" si="52">IndGencost(B131,OFFSET(HeatRateStart,1,MATCH($A129,HeatRateNames,0)-1,250,1),$A130)</f>
        <v>0</v>
      </c>
      <c r="C132" s="189">
        <f t="shared" ca="1" si="52"/>
        <v>0</v>
      </c>
      <c r="D132" s="189">
        <f t="shared" ca="1" si="52"/>
        <v>0</v>
      </c>
      <c r="E132" s="189">
        <f ca="1">IndGencost(E131,OFFSET(HeatRateStart,1,MATCH($A129,HeatRateNames,0)-1,250,1),$A130)</f>
        <v>0</v>
      </c>
      <c r="F132" s="189">
        <f t="shared" ca="1" si="52"/>
        <v>0</v>
      </c>
      <c r="G132" s="189">
        <f t="shared" ca="1" si="52"/>
        <v>0</v>
      </c>
      <c r="H132" s="189">
        <f t="shared" ca="1" si="52"/>
        <v>0</v>
      </c>
      <c r="I132" s="189">
        <f t="shared" ca="1" si="52"/>
        <v>0</v>
      </c>
      <c r="J132" s="189">
        <f t="shared" ca="1" si="52"/>
        <v>0</v>
      </c>
      <c r="K132" s="189">
        <f t="shared" ca="1" si="52"/>
        <v>0</v>
      </c>
      <c r="L132" s="189">
        <f t="shared" ca="1" si="52"/>
        <v>0</v>
      </c>
      <c r="M132" s="189">
        <f t="shared" ca="1" si="52"/>
        <v>0</v>
      </c>
      <c r="N132" s="189">
        <f t="shared" ca="1" si="52"/>
        <v>0</v>
      </c>
      <c r="O132" s="189">
        <f t="shared" ca="1" si="52"/>
        <v>0</v>
      </c>
      <c r="P132" s="189">
        <f t="shared" ca="1" si="52"/>
        <v>0</v>
      </c>
      <c r="Q132" s="189">
        <f t="shared" ca="1" si="52"/>
        <v>0</v>
      </c>
      <c r="R132" s="189">
        <f t="shared" ca="1" si="52"/>
        <v>0</v>
      </c>
      <c r="S132" s="189">
        <f t="shared" ca="1" si="52"/>
        <v>0</v>
      </c>
      <c r="T132" s="189">
        <f t="shared" ca="1" si="52"/>
        <v>0</v>
      </c>
      <c r="U132" s="189">
        <f t="shared" ca="1" si="52"/>
        <v>0</v>
      </c>
      <c r="V132" s="189">
        <f t="shared" ca="1" si="52"/>
        <v>0</v>
      </c>
      <c r="W132" s="189">
        <f t="shared" ca="1" si="52"/>
        <v>0</v>
      </c>
      <c r="X132" s="189">
        <f t="shared" ca="1" si="52"/>
        <v>0</v>
      </c>
      <c r="Y132" s="189">
        <f t="shared" ca="1" si="52"/>
        <v>0</v>
      </c>
      <c r="Z132" s="257">
        <f t="array" aca="1" ref="Z132" ca="1">SUM(B131:Y131*B132:Y132)</f>
        <v>0</v>
      </c>
    </row>
    <row r="133" spans="1:27" ht="13.5" thickBot="1" x14ac:dyDescent="0.25">
      <c r="A133" s="186" t="s">
        <v>165</v>
      </c>
      <c r="B133" s="187">
        <f t="shared" ref="B133:Y133" ca="1" si="53">B132-B130</f>
        <v>0</v>
      </c>
      <c r="C133" s="187">
        <f t="shared" ca="1" si="53"/>
        <v>0</v>
      </c>
      <c r="D133" s="187">
        <f t="shared" ca="1" si="53"/>
        <v>0</v>
      </c>
      <c r="E133" s="187">
        <f t="shared" ca="1" si="53"/>
        <v>0</v>
      </c>
      <c r="F133" s="187">
        <f t="shared" ca="1" si="53"/>
        <v>0</v>
      </c>
      <c r="G133" s="187">
        <f t="shared" ca="1" si="53"/>
        <v>0</v>
      </c>
      <c r="H133" s="187">
        <f t="shared" ca="1" si="53"/>
        <v>0</v>
      </c>
      <c r="I133" s="187">
        <f t="shared" ca="1" si="53"/>
        <v>0</v>
      </c>
      <c r="J133" s="187">
        <f t="shared" ca="1" si="53"/>
        <v>0</v>
      </c>
      <c r="K133" s="187">
        <f t="shared" ca="1" si="53"/>
        <v>0</v>
      </c>
      <c r="L133" s="187">
        <f t="shared" ca="1" si="53"/>
        <v>0</v>
      </c>
      <c r="M133" s="187">
        <f t="shared" ca="1" si="53"/>
        <v>0</v>
      </c>
      <c r="N133" s="187">
        <f t="shared" ca="1" si="53"/>
        <v>0</v>
      </c>
      <c r="O133" s="187">
        <f t="shared" ca="1" si="53"/>
        <v>0</v>
      </c>
      <c r="P133" s="187">
        <f t="shared" ca="1" si="53"/>
        <v>0</v>
      </c>
      <c r="Q133" s="187">
        <f t="shared" ca="1" si="53"/>
        <v>0</v>
      </c>
      <c r="R133" s="187">
        <f t="shared" ca="1" si="53"/>
        <v>0</v>
      </c>
      <c r="S133" s="187">
        <f t="shared" ca="1" si="53"/>
        <v>0</v>
      </c>
      <c r="T133" s="187">
        <f t="shared" ca="1" si="53"/>
        <v>0</v>
      </c>
      <c r="U133" s="187">
        <f t="shared" ca="1" si="53"/>
        <v>0</v>
      </c>
      <c r="V133" s="187">
        <f t="shared" ca="1" si="53"/>
        <v>0</v>
      </c>
      <c r="W133" s="187">
        <f t="shared" ca="1" si="53"/>
        <v>0</v>
      </c>
      <c r="X133" s="187">
        <f t="shared" ca="1" si="53"/>
        <v>0</v>
      </c>
      <c r="Y133" s="187">
        <f t="shared" ca="1" si="53"/>
        <v>0</v>
      </c>
      <c r="Z133" s="259">
        <f ca="1">Z130-Z132</f>
        <v>0</v>
      </c>
    </row>
    <row r="134" spans="1:27" x14ac:dyDescent="0.2">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0</v>
      </c>
      <c r="I134" s="180">
        <f t="shared" si="54"/>
        <v>99</v>
      </c>
      <c r="J134" s="180">
        <f t="shared" si="54"/>
        <v>95</v>
      </c>
      <c r="K134" s="180">
        <f t="shared" si="54"/>
        <v>101</v>
      </c>
      <c r="L134" s="180">
        <f t="shared" si="54"/>
        <v>100</v>
      </c>
      <c r="M134" s="180">
        <f t="shared" si="54"/>
        <v>99</v>
      </c>
      <c r="N134" s="180">
        <f t="shared" si="54"/>
        <v>99</v>
      </c>
      <c r="O134" s="180">
        <f t="shared" si="54"/>
        <v>97</v>
      </c>
      <c r="P134" s="180">
        <f t="shared" si="54"/>
        <v>71</v>
      </c>
      <c r="Q134" s="180">
        <f t="shared" si="54"/>
        <v>69</v>
      </c>
      <c r="R134" s="180">
        <f t="shared" si="54"/>
        <v>79</v>
      </c>
      <c r="S134" s="180">
        <f t="shared" si="54"/>
        <v>68</v>
      </c>
      <c r="T134" s="180">
        <f t="shared" si="54"/>
        <v>100</v>
      </c>
      <c r="U134" s="180">
        <f t="shared" si="54"/>
        <v>100</v>
      </c>
      <c r="V134" s="180">
        <f t="shared" si="54"/>
        <v>100</v>
      </c>
      <c r="W134" s="180">
        <f t="shared" si="54"/>
        <v>101</v>
      </c>
      <c r="X134" s="180">
        <f t="shared" si="54"/>
        <v>101</v>
      </c>
      <c r="Y134" s="180">
        <f t="shared" si="54"/>
        <v>87</v>
      </c>
      <c r="Z134" s="218">
        <f>SUM(B134:Y134)</f>
        <v>1566</v>
      </c>
      <c r="AA134" s="317" t="s">
        <v>174</v>
      </c>
    </row>
    <row r="135" spans="1:27" x14ac:dyDescent="0.2">
      <c r="A135" s="184">
        <f>Economics!$I40</f>
        <v>1.96</v>
      </c>
      <c r="B135" s="188">
        <f t="shared" ref="B135:Y135" ca="1" si="55">IndGencost(B134,OFFSET(HeatRateStart,1,MATCH($A134,HeatRateNames,0)-1,250,1),$A135)</f>
        <v>0</v>
      </c>
      <c r="C135" s="188">
        <f t="shared" ca="1" si="55"/>
        <v>0</v>
      </c>
      <c r="D135" s="188">
        <f t="shared" ca="1" si="55"/>
        <v>0</v>
      </c>
      <c r="E135" s="188">
        <f ca="1">IndGencost(E134,OFFSET(HeatRateStart,1,MATCH($A134,HeatRateNames,0)-1,250,1),$A135)</f>
        <v>0</v>
      </c>
      <c r="F135" s="188">
        <f t="shared" ca="1" si="55"/>
        <v>0</v>
      </c>
      <c r="G135" s="188">
        <f t="shared" ca="1" si="55"/>
        <v>0</v>
      </c>
      <c r="H135" s="188">
        <f t="shared" ca="1" si="55"/>
        <v>0</v>
      </c>
      <c r="I135" s="188">
        <f t="shared" ca="1" si="55"/>
        <v>18.247761619595899</v>
      </c>
      <c r="J135" s="188">
        <f t="shared" ca="1" si="55"/>
        <v>18.361768036317699</v>
      </c>
      <c r="K135" s="188">
        <f t="shared" ca="1" si="55"/>
        <v>18.196856643071595</v>
      </c>
      <c r="L135" s="188">
        <f t="shared" ca="1" si="55"/>
        <v>18.221826354646684</v>
      </c>
      <c r="M135" s="188">
        <f t="shared" ca="1" si="55"/>
        <v>18.247761619595899</v>
      </c>
      <c r="N135" s="188">
        <f t="shared" ca="1" si="55"/>
        <v>18.247761619595899</v>
      </c>
      <c r="O135" s="188">
        <f t="shared" ca="1" si="55"/>
        <v>18.302648259518669</v>
      </c>
      <c r="P135" s="188">
        <f t="shared" ca="1" si="55"/>
        <v>19.531603709434314</v>
      </c>
      <c r="Q135" s="188">
        <f t="shared" ca="1" si="55"/>
        <v>19.683025571201568</v>
      </c>
      <c r="R135" s="188">
        <f t="shared" ca="1" si="55"/>
        <v>19.025699666241625</v>
      </c>
      <c r="S135" s="188">
        <f t="shared" ca="1" si="55"/>
        <v>19.763083683467304</v>
      </c>
      <c r="T135" s="188">
        <f t="shared" ca="1" si="55"/>
        <v>18.221826354646684</v>
      </c>
      <c r="U135" s="188">
        <f t="shared" ca="1" si="55"/>
        <v>18.221826354646684</v>
      </c>
      <c r="V135" s="188">
        <f t="shared" ca="1" si="55"/>
        <v>18.221826354646684</v>
      </c>
      <c r="W135" s="188">
        <f t="shared" ca="1" si="55"/>
        <v>18.196856643071595</v>
      </c>
      <c r="X135" s="188">
        <f t="shared" ca="1" si="55"/>
        <v>18.196856643071595</v>
      </c>
      <c r="Y135" s="188">
        <f t="shared" ca="1" si="55"/>
        <v>18.646417321760964</v>
      </c>
      <c r="Z135" s="258">
        <f t="array" aca="1" ref="Z135" ca="1">SUM(B134:Y134*B135:Y135)</f>
        <v>28955.719049237661</v>
      </c>
      <c r="AA135" s="317" t="s">
        <v>167</v>
      </c>
    </row>
    <row r="136" spans="1:27" x14ac:dyDescent="0.2">
      <c r="A136" s="183" t="s">
        <v>163</v>
      </c>
      <c r="B136" s="185">
        <f t="shared" ref="B136:Y136" si="56">B134</f>
        <v>0</v>
      </c>
      <c r="C136" s="185">
        <f t="shared" si="56"/>
        <v>0</v>
      </c>
      <c r="D136" s="185">
        <f t="shared" si="56"/>
        <v>0</v>
      </c>
      <c r="E136" s="185">
        <f t="shared" si="56"/>
        <v>0</v>
      </c>
      <c r="F136" s="185">
        <f t="shared" si="56"/>
        <v>0</v>
      </c>
      <c r="G136" s="185">
        <f t="shared" si="56"/>
        <v>0</v>
      </c>
      <c r="H136" s="185">
        <f t="shared" si="56"/>
        <v>0</v>
      </c>
      <c r="I136" s="185">
        <f t="shared" si="56"/>
        <v>99</v>
      </c>
      <c r="J136" s="185">
        <f t="shared" si="56"/>
        <v>95</v>
      </c>
      <c r="K136" s="185">
        <f t="shared" si="56"/>
        <v>101</v>
      </c>
      <c r="L136" s="185">
        <f t="shared" si="56"/>
        <v>100</v>
      </c>
      <c r="M136" s="185">
        <f t="shared" si="56"/>
        <v>99</v>
      </c>
      <c r="N136" s="185">
        <f t="shared" si="56"/>
        <v>99</v>
      </c>
      <c r="O136" s="185">
        <f t="shared" si="56"/>
        <v>97</v>
      </c>
      <c r="P136" s="185">
        <f t="shared" si="56"/>
        <v>71</v>
      </c>
      <c r="Q136" s="185">
        <f t="shared" si="56"/>
        <v>69</v>
      </c>
      <c r="R136" s="185">
        <f t="shared" si="56"/>
        <v>79</v>
      </c>
      <c r="S136" s="185">
        <f t="shared" si="56"/>
        <v>68</v>
      </c>
      <c r="T136" s="185">
        <f t="shared" si="56"/>
        <v>100</v>
      </c>
      <c r="U136" s="185">
        <f t="shared" si="56"/>
        <v>100</v>
      </c>
      <c r="V136" s="185">
        <f t="shared" si="56"/>
        <v>100</v>
      </c>
      <c r="W136" s="185">
        <f t="shared" si="56"/>
        <v>101</v>
      </c>
      <c r="X136" s="185">
        <f t="shared" si="56"/>
        <v>101</v>
      </c>
      <c r="Y136" s="185">
        <f t="shared" si="56"/>
        <v>87</v>
      </c>
      <c r="Z136" s="219">
        <f>SUM(B136:Y136)</f>
        <v>1566</v>
      </c>
    </row>
    <row r="137" spans="1:27" x14ac:dyDescent="0.2">
      <c r="A137" s="181"/>
      <c r="B137" s="189">
        <f ca="1">IndGencost(B136,OFFSET(HeatRateStart,1,MATCH($A134,HeatRateNames,0)-1,250,1),$A135)</f>
        <v>0</v>
      </c>
      <c r="C137" s="189">
        <f ca="1">IndGencost(C136,OFFSET(HeatRateStart,1,MATCH($A134,HeatRateNames,0)-1,250,1),$A135)</f>
        <v>0</v>
      </c>
      <c r="D137" s="189"/>
      <c r="E137" s="189">
        <f ca="1">IndGencost(E136,OFFSET(HeatRateStart,1,MATCH($A134,HeatRateNames,0)-1,250,1),$A135)</f>
        <v>0</v>
      </c>
      <c r="F137" s="189">
        <f t="shared" ref="F137:Y137" ca="1" si="57">IndGencost(F136,OFFSET(HeatRateStart,1,MATCH($A134,HeatRateNames,0)-1,250,1),$A135)</f>
        <v>0</v>
      </c>
      <c r="G137" s="189">
        <f t="shared" ca="1" si="57"/>
        <v>0</v>
      </c>
      <c r="H137" s="189">
        <f t="shared" ca="1" si="57"/>
        <v>0</v>
      </c>
      <c r="I137" s="189">
        <f t="shared" ca="1" si="57"/>
        <v>18.247761619595899</v>
      </c>
      <c r="J137" s="189">
        <f t="shared" ca="1" si="57"/>
        <v>18.361768036317699</v>
      </c>
      <c r="K137" s="189">
        <f t="shared" ca="1" si="57"/>
        <v>18.196856643071595</v>
      </c>
      <c r="L137" s="189">
        <f t="shared" ca="1" si="57"/>
        <v>18.221826354646684</v>
      </c>
      <c r="M137" s="189">
        <f t="shared" ca="1" si="57"/>
        <v>18.247761619595899</v>
      </c>
      <c r="N137" s="189">
        <f t="shared" ca="1" si="57"/>
        <v>18.247761619595899</v>
      </c>
      <c r="O137" s="189">
        <f t="shared" ca="1" si="57"/>
        <v>18.302648259518669</v>
      </c>
      <c r="P137" s="189">
        <f t="shared" ca="1" si="57"/>
        <v>19.531603709434314</v>
      </c>
      <c r="Q137" s="189">
        <f t="shared" ca="1" si="57"/>
        <v>19.683025571201568</v>
      </c>
      <c r="R137" s="189">
        <f t="shared" ca="1" si="57"/>
        <v>19.025699666241625</v>
      </c>
      <c r="S137" s="189">
        <f t="shared" ca="1" si="57"/>
        <v>19.763083683467304</v>
      </c>
      <c r="T137" s="189">
        <f t="shared" ca="1" si="57"/>
        <v>18.221826354646684</v>
      </c>
      <c r="U137" s="189">
        <f t="shared" ca="1" si="57"/>
        <v>18.221826354646684</v>
      </c>
      <c r="V137" s="189">
        <f t="shared" ca="1" si="57"/>
        <v>18.221826354646684</v>
      </c>
      <c r="W137" s="189">
        <f t="shared" ca="1" si="57"/>
        <v>18.196856643071595</v>
      </c>
      <c r="X137" s="189">
        <f t="shared" ca="1" si="57"/>
        <v>18.196856643071595</v>
      </c>
      <c r="Y137" s="189">
        <f t="shared" ca="1" si="57"/>
        <v>18.646417321760964</v>
      </c>
      <c r="Z137" s="257">
        <f t="array" aca="1" ref="Z137" ca="1">SUM(B136:Y136*B137:Y137)</f>
        <v>28955.719049237661</v>
      </c>
    </row>
    <row r="138" spans="1:27" ht="13.5" thickBot="1" x14ac:dyDescent="0.25">
      <c r="A138" s="186" t="s">
        <v>165</v>
      </c>
      <c r="B138" s="187">
        <f t="shared" ref="B138:Y138" ca="1" si="58">B137-B135</f>
        <v>0</v>
      </c>
      <c r="C138" s="187">
        <f t="shared" ca="1" si="58"/>
        <v>0</v>
      </c>
      <c r="D138" s="187">
        <f t="shared" ca="1" si="58"/>
        <v>0</v>
      </c>
      <c r="E138" s="187">
        <f t="shared" ca="1" si="58"/>
        <v>0</v>
      </c>
      <c r="F138" s="187">
        <f t="shared" ca="1" si="58"/>
        <v>0</v>
      </c>
      <c r="G138" s="187">
        <f t="shared" ca="1" si="58"/>
        <v>0</v>
      </c>
      <c r="H138" s="187">
        <f t="shared" ca="1" si="58"/>
        <v>0</v>
      </c>
      <c r="I138" s="187">
        <f t="shared" ca="1" si="58"/>
        <v>0</v>
      </c>
      <c r="J138" s="187">
        <f t="shared" ca="1" si="58"/>
        <v>0</v>
      </c>
      <c r="K138" s="187">
        <f t="shared" ca="1" si="58"/>
        <v>0</v>
      </c>
      <c r="L138" s="187">
        <f t="shared" ca="1" si="58"/>
        <v>0</v>
      </c>
      <c r="M138" s="187">
        <f t="shared" ca="1" si="58"/>
        <v>0</v>
      </c>
      <c r="N138" s="187">
        <f t="shared" ca="1" si="58"/>
        <v>0</v>
      </c>
      <c r="O138" s="187">
        <f t="shared" ca="1" si="58"/>
        <v>0</v>
      </c>
      <c r="P138" s="187">
        <f t="shared" ca="1" si="58"/>
        <v>0</v>
      </c>
      <c r="Q138" s="187">
        <f t="shared" ca="1" si="58"/>
        <v>0</v>
      </c>
      <c r="R138" s="187">
        <f t="shared" ca="1" si="58"/>
        <v>0</v>
      </c>
      <c r="S138" s="187">
        <f t="shared" ca="1" si="58"/>
        <v>0</v>
      </c>
      <c r="T138" s="187">
        <f t="shared" ca="1" si="58"/>
        <v>0</v>
      </c>
      <c r="U138" s="187">
        <f t="shared" ca="1" si="58"/>
        <v>0</v>
      </c>
      <c r="V138" s="187">
        <f t="shared" ca="1" si="58"/>
        <v>0</v>
      </c>
      <c r="W138" s="187">
        <f t="shared" ca="1" si="58"/>
        <v>0</v>
      </c>
      <c r="X138" s="187">
        <f t="shared" ca="1" si="58"/>
        <v>0</v>
      </c>
      <c r="Y138" s="187">
        <f t="shared" ca="1" si="58"/>
        <v>0</v>
      </c>
      <c r="Z138" s="259">
        <f ca="1">Z135-Z137</f>
        <v>0</v>
      </c>
    </row>
    <row r="139" spans="1:27" x14ac:dyDescent="0.2">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
      <c r="A140" s="184">
        <f>Economics!$I41</f>
        <v>1.96</v>
      </c>
      <c r="B140" s="188">
        <f t="shared" ref="B140:Y140" ca="1" si="60">IndGencost(B139,OFFSET(HeatRateStart,1,MATCH($A139,HeatRateNames,0)-1,250,1),$A140)</f>
        <v>0</v>
      </c>
      <c r="C140" s="188">
        <f t="shared" ca="1" si="60"/>
        <v>0</v>
      </c>
      <c r="D140" s="188">
        <f t="shared" ca="1" si="60"/>
        <v>0</v>
      </c>
      <c r="E140" s="188">
        <f ca="1">IndGencost(E139,OFFSET(HeatRateStart,1,MATCH($A139,HeatRateNames,0)-1,250,1),$A140)</f>
        <v>0</v>
      </c>
      <c r="F140" s="188">
        <f t="shared" ca="1" si="60"/>
        <v>0</v>
      </c>
      <c r="G140" s="188">
        <f t="shared" ca="1" si="60"/>
        <v>0</v>
      </c>
      <c r="H140" s="188">
        <f t="shared" ca="1" si="60"/>
        <v>0</v>
      </c>
      <c r="I140" s="188">
        <f t="shared" ca="1" si="60"/>
        <v>0</v>
      </c>
      <c r="J140" s="188">
        <f t="shared" ca="1" si="60"/>
        <v>0</v>
      </c>
      <c r="K140" s="188">
        <f t="shared" ca="1" si="60"/>
        <v>0</v>
      </c>
      <c r="L140" s="188">
        <f t="shared" ca="1" si="60"/>
        <v>0</v>
      </c>
      <c r="M140" s="188">
        <f t="shared" ca="1" si="60"/>
        <v>0</v>
      </c>
      <c r="N140" s="188">
        <f t="shared" ca="1" si="60"/>
        <v>0</v>
      </c>
      <c r="O140" s="188">
        <f t="shared" ca="1" si="60"/>
        <v>0</v>
      </c>
      <c r="P140" s="188">
        <f t="shared" ca="1" si="60"/>
        <v>0</v>
      </c>
      <c r="Q140" s="188">
        <f t="shared" ca="1" si="60"/>
        <v>0</v>
      </c>
      <c r="R140" s="188">
        <f t="shared" ca="1" si="60"/>
        <v>0</v>
      </c>
      <c r="S140" s="188">
        <f t="shared" ca="1" si="60"/>
        <v>0</v>
      </c>
      <c r="T140" s="188">
        <f t="shared" ca="1" si="60"/>
        <v>0</v>
      </c>
      <c r="U140" s="188">
        <f t="shared" ca="1" si="60"/>
        <v>0</v>
      </c>
      <c r="V140" s="188">
        <f t="shared" ca="1" si="60"/>
        <v>0</v>
      </c>
      <c r="W140" s="188">
        <f t="shared" ca="1" si="60"/>
        <v>0</v>
      </c>
      <c r="X140" s="188">
        <f t="shared" ca="1" si="60"/>
        <v>0</v>
      </c>
      <c r="Y140" s="188">
        <f t="shared" ca="1" si="60"/>
        <v>0</v>
      </c>
      <c r="Z140" s="258">
        <f t="array" aca="1" ref="Z140" ca="1">SUM(B139:Y139*B140:Y140)</f>
        <v>0</v>
      </c>
      <c r="AA140" s="317" t="s">
        <v>167</v>
      </c>
    </row>
    <row r="141" spans="1:27" x14ac:dyDescent="0.2">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
      <c r="A142" s="181"/>
      <c r="B142" s="189">
        <f t="shared" ref="B142:Y142" ca="1" si="61">IndGencost(B141,OFFSET(HeatRateStart,1,MATCH($A139,HeatRateNames,0)-1,250,1),$A140)</f>
        <v>20.244035451830499</v>
      </c>
      <c r="C142" s="189">
        <f t="shared" ca="1" si="61"/>
        <v>20.244035451830499</v>
      </c>
      <c r="D142" s="189">
        <f t="shared" ca="1" si="61"/>
        <v>19.350020833271106</v>
      </c>
      <c r="E142" s="189">
        <f ca="1">IndGencost(E141,OFFSET(HeatRateStart,1,MATCH($A139,HeatRateNames,0)-1,250,1),$A140)</f>
        <v>19.350020833271106</v>
      </c>
      <c r="F142" s="189">
        <f t="shared" ca="1" si="61"/>
        <v>19.350020833271106</v>
      </c>
      <c r="G142" s="189">
        <f t="shared" ca="1" si="61"/>
        <v>19.350020833271106</v>
      </c>
      <c r="H142" s="189">
        <f t="shared" ca="1" si="61"/>
        <v>19.539476861830234</v>
      </c>
      <c r="I142" s="189">
        <f t="shared" ca="1" si="61"/>
        <v>20.244035451830499</v>
      </c>
      <c r="J142" s="189">
        <f t="shared" ca="1" si="61"/>
        <v>20.244035451830499</v>
      </c>
      <c r="K142" s="189">
        <f t="shared" ca="1" si="61"/>
        <v>20.244035451830499</v>
      </c>
      <c r="L142" s="189">
        <f t="shared" ca="1" si="61"/>
        <v>20.244035451830499</v>
      </c>
      <c r="M142" s="189">
        <f t="shared" ca="1" si="61"/>
        <v>20.244035451830499</v>
      </c>
      <c r="N142" s="189">
        <f t="shared" ca="1" si="61"/>
        <v>20.244035451830499</v>
      </c>
      <c r="O142" s="189">
        <f t="shared" ca="1" si="61"/>
        <v>20.244035451830499</v>
      </c>
      <c r="P142" s="189">
        <f t="shared" ca="1" si="61"/>
        <v>20.244035451830499</v>
      </c>
      <c r="Q142" s="189">
        <f t="shared" ca="1" si="61"/>
        <v>20.244035451830499</v>
      </c>
      <c r="R142" s="189">
        <f t="shared" ca="1" si="61"/>
        <v>20.244035451830499</v>
      </c>
      <c r="S142" s="189">
        <f t="shared" ca="1" si="61"/>
        <v>20.244035451830499</v>
      </c>
      <c r="T142" s="189">
        <f t="shared" ca="1" si="61"/>
        <v>18.231501034024166</v>
      </c>
      <c r="U142" s="189">
        <f t="shared" ca="1" si="61"/>
        <v>18.231501034024166</v>
      </c>
      <c r="V142" s="189">
        <f t="shared" ca="1" si="61"/>
        <v>18.453763362690225</v>
      </c>
      <c r="W142" s="189">
        <f t="shared" ca="1" si="61"/>
        <v>18.545506952764576</v>
      </c>
      <c r="X142" s="189">
        <f t="shared" ca="1" si="61"/>
        <v>19.025115355453305</v>
      </c>
      <c r="Y142" s="189">
        <f t="shared" ca="1" si="61"/>
        <v>19.025115355453305</v>
      </c>
      <c r="Z142" s="257">
        <f t="array" aca="1" ref="Z142" ca="1">SUM(B141:Y141*B142:Y142)</f>
        <v>61714.063497024828</v>
      </c>
    </row>
    <row r="143" spans="1:27" ht="13.5" thickBot="1" x14ac:dyDescent="0.25">
      <c r="A143" s="186" t="s">
        <v>165</v>
      </c>
      <c r="B143" s="187">
        <f t="shared" ref="B143:Y143" ca="1" si="62">B142-B140</f>
        <v>20.244035451830499</v>
      </c>
      <c r="C143" s="187">
        <f t="shared" ca="1" si="62"/>
        <v>20.244035451830499</v>
      </c>
      <c r="D143" s="187">
        <f t="shared" ca="1" si="62"/>
        <v>19.350020833271106</v>
      </c>
      <c r="E143" s="187">
        <f t="shared" ca="1" si="62"/>
        <v>19.350020833271106</v>
      </c>
      <c r="F143" s="187">
        <f t="shared" ca="1" si="62"/>
        <v>19.350020833271106</v>
      </c>
      <c r="G143" s="187">
        <f t="shared" ca="1" si="62"/>
        <v>19.350020833271106</v>
      </c>
      <c r="H143" s="187">
        <f t="shared" ca="1" si="62"/>
        <v>19.539476861830234</v>
      </c>
      <c r="I143" s="187">
        <f t="shared" ca="1" si="62"/>
        <v>20.244035451830499</v>
      </c>
      <c r="J143" s="187">
        <f t="shared" ca="1" si="62"/>
        <v>20.244035451830499</v>
      </c>
      <c r="K143" s="187">
        <f t="shared" ca="1" si="62"/>
        <v>20.244035451830499</v>
      </c>
      <c r="L143" s="187">
        <f t="shared" ca="1" si="62"/>
        <v>20.244035451830499</v>
      </c>
      <c r="M143" s="187">
        <f t="shared" ca="1" si="62"/>
        <v>20.244035451830499</v>
      </c>
      <c r="N143" s="187">
        <f t="shared" ca="1" si="62"/>
        <v>20.244035451830499</v>
      </c>
      <c r="O143" s="187">
        <f t="shared" ca="1" si="62"/>
        <v>20.244035451830499</v>
      </c>
      <c r="P143" s="187">
        <f t="shared" ca="1" si="62"/>
        <v>20.244035451830499</v>
      </c>
      <c r="Q143" s="187">
        <f t="shared" ca="1" si="62"/>
        <v>20.244035451830499</v>
      </c>
      <c r="R143" s="187">
        <f t="shared" ca="1" si="62"/>
        <v>20.244035451830499</v>
      </c>
      <c r="S143" s="187">
        <f t="shared" ca="1" si="62"/>
        <v>20.244035451830499</v>
      </c>
      <c r="T143" s="187">
        <f t="shared" ca="1" si="62"/>
        <v>18.231501034024166</v>
      </c>
      <c r="U143" s="187">
        <f t="shared" ca="1" si="62"/>
        <v>18.231501034024166</v>
      </c>
      <c r="V143" s="187">
        <f t="shared" ca="1" si="62"/>
        <v>18.453763362690225</v>
      </c>
      <c r="W143" s="187">
        <f t="shared" ca="1" si="62"/>
        <v>18.545506952764576</v>
      </c>
      <c r="X143" s="187">
        <f t="shared" ca="1" si="62"/>
        <v>19.025115355453305</v>
      </c>
      <c r="Y143" s="187">
        <f t="shared" ca="1" si="62"/>
        <v>19.025115355453305</v>
      </c>
      <c r="Z143" s="259">
        <f ca="1">Z140-Z142</f>
        <v>-61714.063497024828</v>
      </c>
    </row>
    <row r="144" spans="1:27" x14ac:dyDescent="0.2">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
      <c r="A145" s="184">
        <f>Economics!$I41</f>
        <v>1.96</v>
      </c>
      <c r="B145" s="188">
        <f t="shared" ref="B145:Y145" ca="1" si="64">IndGencost(B144,OFFSET(HeatRateStart,1,MATCH($A144,HeatRateNames,0)-1,250,1),$A145)</f>
        <v>0</v>
      </c>
      <c r="C145" s="188">
        <f t="shared" ca="1" si="64"/>
        <v>0</v>
      </c>
      <c r="D145" s="188">
        <f t="shared" ca="1" si="64"/>
        <v>0</v>
      </c>
      <c r="E145" s="188">
        <f ca="1">IndGencost(E144,OFFSET(HeatRateStart,1,MATCH($A144,HeatRateNames,0)-1,250,1),$A145)</f>
        <v>0</v>
      </c>
      <c r="F145" s="188">
        <f t="shared" ca="1" si="64"/>
        <v>0</v>
      </c>
      <c r="G145" s="188">
        <f t="shared" ca="1" si="64"/>
        <v>0</v>
      </c>
      <c r="H145" s="188">
        <f t="shared" ca="1" si="64"/>
        <v>0</v>
      </c>
      <c r="I145" s="188">
        <f t="shared" ca="1" si="64"/>
        <v>0</v>
      </c>
      <c r="J145" s="188">
        <f t="shared" ca="1" si="64"/>
        <v>0</v>
      </c>
      <c r="K145" s="188">
        <f t="shared" ca="1" si="64"/>
        <v>0</v>
      </c>
      <c r="L145" s="188">
        <f t="shared" ca="1" si="64"/>
        <v>0</v>
      </c>
      <c r="M145" s="188">
        <f t="shared" ca="1" si="64"/>
        <v>0</v>
      </c>
      <c r="N145" s="188">
        <f t="shared" ca="1" si="64"/>
        <v>0</v>
      </c>
      <c r="O145" s="188">
        <f t="shared" ca="1" si="64"/>
        <v>0</v>
      </c>
      <c r="P145" s="188">
        <f t="shared" ca="1" si="64"/>
        <v>0</v>
      </c>
      <c r="Q145" s="188">
        <f t="shared" ca="1" si="64"/>
        <v>0</v>
      </c>
      <c r="R145" s="188">
        <f t="shared" ca="1" si="64"/>
        <v>0</v>
      </c>
      <c r="S145" s="188">
        <f t="shared" ca="1" si="64"/>
        <v>0</v>
      </c>
      <c r="T145" s="188">
        <f t="shared" ca="1" si="64"/>
        <v>0</v>
      </c>
      <c r="U145" s="188">
        <f t="shared" ca="1" si="64"/>
        <v>0</v>
      </c>
      <c r="V145" s="188">
        <f t="shared" ca="1" si="64"/>
        <v>0</v>
      </c>
      <c r="W145" s="188">
        <f t="shared" ca="1" si="64"/>
        <v>0</v>
      </c>
      <c r="X145" s="188">
        <f t="shared" ca="1" si="64"/>
        <v>0</v>
      </c>
      <c r="Y145" s="188">
        <f t="shared" ca="1" si="64"/>
        <v>0</v>
      </c>
      <c r="Z145" s="258">
        <f t="array" aca="1" ref="Z145" ca="1">SUM(B144:Y144*B145:Y145)</f>
        <v>0</v>
      </c>
      <c r="AA145" s="317" t="s">
        <v>167</v>
      </c>
    </row>
    <row r="146" spans="1:27" x14ac:dyDescent="0.2">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
      <c r="A147" s="181"/>
      <c r="B147" s="189">
        <f t="shared" ref="B147:Y147" ca="1" si="66">IndGencost(B146,OFFSET(HeatRateStart,1,MATCH($A144,HeatRateNames,0)-1,250,1),$A145)</f>
        <v>0</v>
      </c>
      <c r="C147" s="189">
        <f t="shared" ca="1" si="66"/>
        <v>0</v>
      </c>
      <c r="D147" s="189">
        <f t="shared" ca="1" si="66"/>
        <v>0</v>
      </c>
      <c r="E147" s="189">
        <f ca="1">IndGencost(E146,OFFSET(HeatRateStart,1,MATCH($A144,HeatRateNames,0)-1,250,1),$A145)</f>
        <v>0</v>
      </c>
      <c r="F147" s="189">
        <f t="shared" ca="1" si="66"/>
        <v>0</v>
      </c>
      <c r="G147" s="189">
        <f t="shared" ca="1" si="66"/>
        <v>0</v>
      </c>
      <c r="H147" s="189">
        <f t="shared" ca="1" si="66"/>
        <v>0</v>
      </c>
      <c r="I147" s="189">
        <f t="shared" ca="1" si="66"/>
        <v>0</v>
      </c>
      <c r="J147" s="189">
        <f t="shared" ca="1" si="66"/>
        <v>0</v>
      </c>
      <c r="K147" s="189">
        <f t="shared" ca="1" si="66"/>
        <v>0</v>
      </c>
      <c r="L147" s="189">
        <f t="shared" ca="1" si="66"/>
        <v>0</v>
      </c>
      <c r="M147" s="189">
        <f t="shared" ca="1" si="66"/>
        <v>0</v>
      </c>
      <c r="N147" s="189">
        <f t="shared" ca="1" si="66"/>
        <v>0</v>
      </c>
      <c r="O147" s="189">
        <f t="shared" ca="1" si="66"/>
        <v>0</v>
      </c>
      <c r="P147" s="189">
        <f t="shared" ca="1" si="66"/>
        <v>0</v>
      </c>
      <c r="Q147" s="189">
        <f t="shared" ca="1" si="66"/>
        <v>0</v>
      </c>
      <c r="R147" s="189">
        <f t="shared" ca="1" si="66"/>
        <v>0</v>
      </c>
      <c r="S147" s="189">
        <f t="shared" ca="1" si="66"/>
        <v>0</v>
      </c>
      <c r="T147" s="189">
        <f t="shared" ca="1" si="66"/>
        <v>0</v>
      </c>
      <c r="U147" s="189">
        <f t="shared" ca="1" si="66"/>
        <v>0</v>
      </c>
      <c r="V147" s="189">
        <f t="shared" ca="1" si="66"/>
        <v>0</v>
      </c>
      <c r="W147" s="189">
        <f t="shared" ca="1" si="66"/>
        <v>0</v>
      </c>
      <c r="X147" s="189">
        <f t="shared" ca="1" si="66"/>
        <v>0</v>
      </c>
      <c r="Y147" s="189">
        <f t="shared" ca="1" si="66"/>
        <v>0</v>
      </c>
      <c r="Z147" s="257">
        <f t="array" aca="1" ref="Z147" ca="1">SUM(B146:Y146*B147:Y147)</f>
        <v>0</v>
      </c>
    </row>
    <row r="148" spans="1:27" ht="13.5" thickBot="1" x14ac:dyDescent="0.25">
      <c r="A148" s="186" t="s">
        <v>165</v>
      </c>
      <c r="B148" s="187">
        <f t="shared" ref="B148:Y148" ca="1" si="67">B147-B145</f>
        <v>0</v>
      </c>
      <c r="C148" s="187">
        <f t="shared" ca="1" si="67"/>
        <v>0</v>
      </c>
      <c r="D148" s="187">
        <f t="shared" ca="1" si="67"/>
        <v>0</v>
      </c>
      <c r="E148" s="187">
        <f t="shared" ca="1" si="67"/>
        <v>0</v>
      </c>
      <c r="F148" s="187">
        <f t="shared" ca="1" si="67"/>
        <v>0</v>
      </c>
      <c r="G148" s="187">
        <f t="shared" ca="1" si="67"/>
        <v>0</v>
      </c>
      <c r="H148" s="187">
        <f t="shared" ca="1" si="67"/>
        <v>0</v>
      </c>
      <c r="I148" s="187">
        <f t="shared" ca="1" si="67"/>
        <v>0</v>
      </c>
      <c r="J148" s="187">
        <f t="shared" ca="1" si="67"/>
        <v>0</v>
      </c>
      <c r="K148" s="187">
        <f t="shared" ca="1" si="67"/>
        <v>0</v>
      </c>
      <c r="L148" s="187">
        <f t="shared" ca="1" si="67"/>
        <v>0</v>
      </c>
      <c r="M148" s="187">
        <f t="shared" ca="1" si="67"/>
        <v>0</v>
      </c>
      <c r="N148" s="187">
        <f t="shared" ca="1" si="67"/>
        <v>0</v>
      </c>
      <c r="O148" s="187">
        <f t="shared" ca="1" si="67"/>
        <v>0</v>
      </c>
      <c r="P148" s="187">
        <f t="shared" ca="1" si="67"/>
        <v>0</v>
      </c>
      <c r="Q148" s="187">
        <f t="shared" ca="1" si="67"/>
        <v>0</v>
      </c>
      <c r="R148" s="187">
        <f t="shared" ca="1" si="67"/>
        <v>0</v>
      </c>
      <c r="S148" s="187">
        <f t="shared" ca="1" si="67"/>
        <v>0</v>
      </c>
      <c r="T148" s="187">
        <f t="shared" ca="1" si="67"/>
        <v>0</v>
      </c>
      <c r="U148" s="187">
        <f t="shared" ca="1" si="67"/>
        <v>0</v>
      </c>
      <c r="V148" s="187">
        <f t="shared" ca="1" si="67"/>
        <v>0</v>
      </c>
      <c r="W148" s="187">
        <f t="shared" ca="1" si="67"/>
        <v>0</v>
      </c>
      <c r="X148" s="187">
        <f t="shared" ca="1" si="67"/>
        <v>0</v>
      </c>
      <c r="Y148" s="187">
        <f t="shared" ca="1" si="67"/>
        <v>0</v>
      </c>
      <c r="Z148" s="259">
        <f ca="1">Z145-Z147</f>
        <v>0</v>
      </c>
    </row>
    <row r="149" spans="1:27" x14ac:dyDescent="0.2">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
      <c r="A150" s="184">
        <f>Economics!$I43</f>
        <v>2.09</v>
      </c>
      <c r="B150" s="188">
        <f t="shared" ref="B150:Y150" ca="1" si="69">IndGencost(B149,OFFSET(HeatRateStart,1,MATCH($A149,HeatRateNames,0)-1,250,1),$A150)</f>
        <v>0</v>
      </c>
      <c r="C150" s="188">
        <f t="shared" ca="1" si="69"/>
        <v>0</v>
      </c>
      <c r="D150" s="188">
        <f t="shared" ca="1" si="69"/>
        <v>0</v>
      </c>
      <c r="E150" s="188">
        <f ca="1">IndGencost(E149,OFFSET(HeatRateStart,1,MATCH($A149,HeatRateNames,0)-1,250,1),$A150)</f>
        <v>0</v>
      </c>
      <c r="F150" s="188">
        <f t="shared" ca="1" si="69"/>
        <v>0</v>
      </c>
      <c r="G150" s="188">
        <f t="shared" ca="1" si="69"/>
        <v>0</v>
      </c>
      <c r="H150" s="188">
        <f t="shared" ca="1" si="69"/>
        <v>0</v>
      </c>
      <c r="I150" s="188">
        <f t="shared" ca="1" si="69"/>
        <v>0</v>
      </c>
      <c r="J150" s="188">
        <f t="shared" ca="1" si="69"/>
        <v>0</v>
      </c>
      <c r="K150" s="188">
        <f t="shared" ca="1" si="69"/>
        <v>0</v>
      </c>
      <c r="L150" s="188">
        <f t="shared" ca="1" si="69"/>
        <v>0</v>
      </c>
      <c r="M150" s="188">
        <f t="shared" ca="1" si="69"/>
        <v>0</v>
      </c>
      <c r="N150" s="188">
        <f t="shared" ca="1" si="69"/>
        <v>0</v>
      </c>
      <c r="O150" s="188">
        <f t="shared" ca="1" si="69"/>
        <v>0</v>
      </c>
      <c r="P150" s="188">
        <f t="shared" ca="1" si="69"/>
        <v>0</v>
      </c>
      <c r="Q150" s="188">
        <f t="shared" ca="1" si="69"/>
        <v>0</v>
      </c>
      <c r="R150" s="188">
        <f t="shared" ca="1" si="69"/>
        <v>0</v>
      </c>
      <c r="S150" s="188">
        <f t="shared" ca="1" si="69"/>
        <v>0</v>
      </c>
      <c r="T150" s="188">
        <f t="shared" ca="1" si="69"/>
        <v>0</v>
      </c>
      <c r="U150" s="188">
        <f t="shared" ca="1" si="69"/>
        <v>0</v>
      </c>
      <c r="V150" s="188">
        <f t="shared" ca="1" si="69"/>
        <v>0</v>
      </c>
      <c r="W150" s="188">
        <f t="shared" ca="1" si="69"/>
        <v>0</v>
      </c>
      <c r="X150" s="188">
        <f t="shared" ca="1" si="69"/>
        <v>0</v>
      </c>
      <c r="Y150" s="188">
        <f t="shared" ca="1" si="69"/>
        <v>0</v>
      </c>
      <c r="Z150" s="258">
        <f t="array" aca="1" ref="Z150" ca="1">SUM(B149:Y149*B150:Y150)</f>
        <v>0</v>
      </c>
      <c r="AA150" s="317" t="s">
        <v>167</v>
      </c>
    </row>
    <row r="151" spans="1:27" x14ac:dyDescent="0.2">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
      <c r="A152" s="181"/>
      <c r="B152" s="189">
        <f t="shared" ref="B152:Y152" ca="1" si="70">IndGencost(B151,OFFSET(HeatRateStart,1,MATCH($A149,HeatRateNames,0)-1,250,1),$A150)</f>
        <v>0</v>
      </c>
      <c r="C152" s="189">
        <f t="shared" ca="1" si="70"/>
        <v>0</v>
      </c>
      <c r="D152" s="189">
        <f t="shared" ca="1" si="70"/>
        <v>0</v>
      </c>
      <c r="E152" s="189">
        <f ca="1">IndGencost(E151,OFFSET(HeatRateStart,1,MATCH($A149,HeatRateNames,0)-1,250,1),$A150)</f>
        <v>0</v>
      </c>
      <c r="F152" s="189">
        <f t="shared" ca="1" si="70"/>
        <v>0</v>
      </c>
      <c r="G152" s="189">
        <f t="shared" ca="1" si="70"/>
        <v>0</v>
      </c>
      <c r="H152" s="189">
        <f t="shared" ca="1" si="70"/>
        <v>0</v>
      </c>
      <c r="I152" s="189">
        <f t="shared" ca="1" si="70"/>
        <v>0</v>
      </c>
      <c r="J152" s="189">
        <f t="shared" ca="1" si="70"/>
        <v>0</v>
      </c>
      <c r="K152" s="189">
        <f t="shared" ca="1" si="70"/>
        <v>0</v>
      </c>
      <c r="L152" s="189">
        <f t="shared" ca="1" si="70"/>
        <v>0</v>
      </c>
      <c r="M152" s="189">
        <f t="shared" ca="1" si="70"/>
        <v>0</v>
      </c>
      <c r="N152" s="189">
        <f t="shared" ca="1" si="70"/>
        <v>0</v>
      </c>
      <c r="O152" s="189">
        <f t="shared" ca="1" si="70"/>
        <v>0</v>
      </c>
      <c r="P152" s="189">
        <f t="shared" ca="1" si="70"/>
        <v>0</v>
      </c>
      <c r="Q152" s="189">
        <f t="shared" ca="1" si="70"/>
        <v>0</v>
      </c>
      <c r="R152" s="189">
        <f t="shared" ca="1" si="70"/>
        <v>0</v>
      </c>
      <c r="S152" s="189">
        <f t="shared" ca="1" si="70"/>
        <v>0</v>
      </c>
      <c r="T152" s="189">
        <f t="shared" ca="1" si="70"/>
        <v>0</v>
      </c>
      <c r="U152" s="189">
        <f t="shared" ca="1" si="70"/>
        <v>0</v>
      </c>
      <c r="V152" s="189">
        <f t="shared" ca="1" si="70"/>
        <v>0</v>
      </c>
      <c r="W152" s="189">
        <f t="shared" ca="1" si="70"/>
        <v>0</v>
      </c>
      <c r="X152" s="189">
        <f t="shared" ca="1" si="70"/>
        <v>0</v>
      </c>
      <c r="Y152" s="189">
        <f t="shared" ca="1" si="70"/>
        <v>0</v>
      </c>
      <c r="Z152" s="257">
        <f t="array" aca="1" ref="Z152" ca="1">SUM(B151:Y151*B152:Y152)</f>
        <v>0</v>
      </c>
      <c r="AA152" s="260"/>
    </row>
    <row r="153" spans="1:27" ht="13.5" thickBot="1" x14ac:dyDescent="0.25">
      <c r="A153" s="186" t="s">
        <v>165</v>
      </c>
      <c r="B153" s="187">
        <f t="shared" ref="B153:Y153" ca="1" si="71">B152-B150</f>
        <v>0</v>
      </c>
      <c r="C153" s="187">
        <f t="shared" ca="1" si="71"/>
        <v>0</v>
      </c>
      <c r="D153" s="187">
        <f t="shared" ca="1" si="71"/>
        <v>0</v>
      </c>
      <c r="E153" s="187">
        <f t="shared" ca="1" si="71"/>
        <v>0</v>
      </c>
      <c r="F153" s="187">
        <f t="shared" ca="1" si="71"/>
        <v>0</v>
      </c>
      <c r="G153" s="187">
        <f t="shared" ca="1" si="71"/>
        <v>0</v>
      </c>
      <c r="H153" s="187">
        <f t="shared" ca="1" si="71"/>
        <v>0</v>
      </c>
      <c r="I153" s="187">
        <f t="shared" ca="1" si="71"/>
        <v>0</v>
      </c>
      <c r="J153" s="187">
        <f t="shared" ca="1" si="71"/>
        <v>0</v>
      </c>
      <c r="K153" s="187">
        <f t="shared" ca="1" si="71"/>
        <v>0</v>
      </c>
      <c r="L153" s="187">
        <f t="shared" ca="1" si="71"/>
        <v>0</v>
      </c>
      <c r="M153" s="187">
        <f t="shared" ca="1" si="71"/>
        <v>0</v>
      </c>
      <c r="N153" s="187">
        <f t="shared" ca="1" si="71"/>
        <v>0</v>
      </c>
      <c r="O153" s="187">
        <f t="shared" ca="1" si="71"/>
        <v>0</v>
      </c>
      <c r="P153" s="187">
        <f t="shared" ca="1" si="71"/>
        <v>0</v>
      </c>
      <c r="Q153" s="187">
        <f t="shared" ca="1" si="71"/>
        <v>0</v>
      </c>
      <c r="R153" s="187">
        <f t="shared" ca="1" si="71"/>
        <v>0</v>
      </c>
      <c r="S153" s="187">
        <f t="shared" ca="1" si="71"/>
        <v>0</v>
      </c>
      <c r="T153" s="187">
        <f t="shared" ca="1" si="71"/>
        <v>0</v>
      </c>
      <c r="U153" s="187">
        <f t="shared" ca="1" si="71"/>
        <v>0</v>
      </c>
      <c r="V153" s="187">
        <f t="shared" ca="1" si="71"/>
        <v>0</v>
      </c>
      <c r="W153" s="187">
        <f t="shared" ca="1" si="71"/>
        <v>0</v>
      </c>
      <c r="X153" s="187">
        <f t="shared" ca="1" si="71"/>
        <v>0</v>
      </c>
      <c r="Y153" s="187">
        <f t="shared" ca="1" si="71"/>
        <v>0</v>
      </c>
      <c r="Z153" s="259">
        <f ca="1">Z150-Z152</f>
        <v>0</v>
      </c>
    </row>
    <row r="154" spans="1:27" x14ac:dyDescent="0.2">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
      <c r="A155" s="184">
        <f>Economics!$I44</f>
        <v>2.09</v>
      </c>
      <c r="B155" s="188">
        <f t="shared" ref="B155:Y155" ca="1" si="73">IndGencost(B154,OFFSET(HeatRateStart,1,MATCH($A154,HeatRateNames,0)-1,250,1),$A155)</f>
        <v>0</v>
      </c>
      <c r="C155" s="188">
        <f t="shared" ca="1" si="73"/>
        <v>0</v>
      </c>
      <c r="D155" s="188">
        <f t="shared" ca="1" si="73"/>
        <v>0</v>
      </c>
      <c r="E155" s="188">
        <f ca="1">IndGencost(E154,OFFSET(HeatRateStart,1,MATCH($A154,HeatRateNames,0)-1,250,1),$A155)</f>
        <v>0</v>
      </c>
      <c r="F155" s="188">
        <f t="shared" ca="1" si="73"/>
        <v>0</v>
      </c>
      <c r="G155" s="188">
        <f t="shared" ca="1" si="73"/>
        <v>0</v>
      </c>
      <c r="H155" s="188">
        <f t="shared" ca="1" si="73"/>
        <v>0</v>
      </c>
      <c r="I155" s="188">
        <f t="shared" ca="1" si="73"/>
        <v>0</v>
      </c>
      <c r="J155" s="188">
        <f t="shared" ca="1" si="73"/>
        <v>0</v>
      </c>
      <c r="K155" s="188">
        <f t="shared" ca="1" si="73"/>
        <v>0</v>
      </c>
      <c r="L155" s="188">
        <f t="shared" ca="1" si="73"/>
        <v>0</v>
      </c>
      <c r="M155" s="188">
        <f t="shared" ca="1" si="73"/>
        <v>0</v>
      </c>
      <c r="N155" s="188">
        <f t="shared" ca="1" si="73"/>
        <v>0</v>
      </c>
      <c r="O155" s="188">
        <f t="shared" ca="1" si="73"/>
        <v>0</v>
      </c>
      <c r="P155" s="188">
        <f t="shared" ca="1" si="73"/>
        <v>0</v>
      </c>
      <c r="Q155" s="188">
        <f t="shared" ca="1" si="73"/>
        <v>0</v>
      </c>
      <c r="R155" s="188">
        <f t="shared" ca="1" si="73"/>
        <v>0</v>
      </c>
      <c r="S155" s="188">
        <f t="shared" ca="1" si="73"/>
        <v>0</v>
      </c>
      <c r="T155" s="188">
        <f t="shared" ca="1" si="73"/>
        <v>0</v>
      </c>
      <c r="U155" s="188">
        <f t="shared" ca="1" si="73"/>
        <v>0</v>
      </c>
      <c r="V155" s="188">
        <f t="shared" ca="1" si="73"/>
        <v>0</v>
      </c>
      <c r="W155" s="188">
        <f t="shared" ca="1" si="73"/>
        <v>0</v>
      </c>
      <c r="X155" s="188">
        <f t="shared" ca="1" si="73"/>
        <v>0</v>
      </c>
      <c r="Y155" s="188">
        <f t="shared" ca="1" si="73"/>
        <v>0</v>
      </c>
      <c r="Z155" s="258">
        <f t="array" aca="1" ref="Z155" ca="1">SUM(B154:Y154*B155:Y155)</f>
        <v>0</v>
      </c>
      <c r="AA155" s="317" t="s">
        <v>167</v>
      </c>
    </row>
    <row r="156" spans="1:27" x14ac:dyDescent="0.2">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
      <c r="A157" s="181"/>
      <c r="B157" s="189">
        <f t="shared" ref="B157:Y157" ca="1" si="74">IndGencost(B156,OFFSET(HeatRateStart,1,MATCH($A154,HeatRateNames,0)-1,250,1),$A155)</f>
        <v>0</v>
      </c>
      <c r="C157" s="189">
        <f t="shared" ca="1" si="74"/>
        <v>0</v>
      </c>
      <c r="D157" s="189">
        <f t="shared" ca="1" si="74"/>
        <v>0</v>
      </c>
      <c r="E157" s="189">
        <f ca="1">IndGencost(E156,OFFSET(HeatRateStart,1,MATCH($A154,HeatRateNames,0)-1,250,1),$A155)</f>
        <v>0</v>
      </c>
      <c r="F157" s="189">
        <f t="shared" ca="1" si="74"/>
        <v>0</v>
      </c>
      <c r="G157" s="189">
        <f t="shared" ca="1" si="74"/>
        <v>0</v>
      </c>
      <c r="H157" s="189">
        <f t="shared" ca="1" si="74"/>
        <v>0</v>
      </c>
      <c r="I157" s="189">
        <f t="shared" ca="1" si="74"/>
        <v>0</v>
      </c>
      <c r="J157" s="189">
        <f t="shared" ca="1" si="74"/>
        <v>0</v>
      </c>
      <c r="K157" s="189">
        <f t="shared" ca="1" si="74"/>
        <v>0</v>
      </c>
      <c r="L157" s="189">
        <f t="shared" ca="1" si="74"/>
        <v>0</v>
      </c>
      <c r="M157" s="189">
        <f t="shared" ca="1" si="74"/>
        <v>0</v>
      </c>
      <c r="N157" s="189">
        <f t="shared" ca="1" si="74"/>
        <v>0</v>
      </c>
      <c r="O157" s="189">
        <f t="shared" ca="1" si="74"/>
        <v>0</v>
      </c>
      <c r="P157" s="189">
        <f t="shared" ca="1" si="74"/>
        <v>0</v>
      </c>
      <c r="Q157" s="189">
        <f t="shared" ca="1" si="74"/>
        <v>0</v>
      </c>
      <c r="R157" s="189">
        <f t="shared" ca="1" si="74"/>
        <v>0</v>
      </c>
      <c r="S157" s="189">
        <f t="shared" ca="1" si="74"/>
        <v>0</v>
      </c>
      <c r="T157" s="189">
        <f t="shared" ca="1" si="74"/>
        <v>0</v>
      </c>
      <c r="U157" s="189">
        <f t="shared" ca="1" si="74"/>
        <v>0</v>
      </c>
      <c r="V157" s="189">
        <f t="shared" ca="1" si="74"/>
        <v>0</v>
      </c>
      <c r="W157" s="189">
        <f t="shared" ca="1" si="74"/>
        <v>0</v>
      </c>
      <c r="X157" s="189">
        <f t="shared" ca="1" si="74"/>
        <v>0</v>
      </c>
      <c r="Y157" s="189">
        <f t="shared" ca="1" si="74"/>
        <v>0</v>
      </c>
      <c r="Z157" s="257">
        <f t="array" aca="1" ref="Z157" ca="1">SUM(B156:Y156*B157:Y157)</f>
        <v>0</v>
      </c>
    </row>
    <row r="158" spans="1:27" ht="13.5" thickBot="1" x14ac:dyDescent="0.25">
      <c r="A158" s="186" t="s">
        <v>165</v>
      </c>
      <c r="B158" s="187">
        <f t="shared" ref="B158:Y158" ca="1" si="75">B157-B155</f>
        <v>0</v>
      </c>
      <c r="C158" s="187">
        <f t="shared" ca="1" si="75"/>
        <v>0</v>
      </c>
      <c r="D158" s="187">
        <f t="shared" ca="1" si="75"/>
        <v>0</v>
      </c>
      <c r="E158" s="187">
        <f t="shared" ca="1" si="75"/>
        <v>0</v>
      </c>
      <c r="F158" s="187">
        <f t="shared" ca="1" si="75"/>
        <v>0</v>
      </c>
      <c r="G158" s="187">
        <f t="shared" ca="1" si="75"/>
        <v>0</v>
      </c>
      <c r="H158" s="187">
        <f t="shared" ca="1" si="75"/>
        <v>0</v>
      </c>
      <c r="I158" s="187">
        <f t="shared" ca="1" si="75"/>
        <v>0</v>
      </c>
      <c r="J158" s="187">
        <f t="shared" ca="1" si="75"/>
        <v>0</v>
      </c>
      <c r="K158" s="187">
        <f t="shared" ca="1" si="75"/>
        <v>0</v>
      </c>
      <c r="L158" s="187">
        <f t="shared" ca="1" si="75"/>
        <v>0</v>
      </c>
      <c r="M158" s="187">
        <f t="shared" ca="1" si="75"/>
        <v>0</v>
      </c>
      <c r="N158" s="187">
        <f t="shared" ca="1" si="75"/>
        <v>0</v>
      </c>
      <c r="O158" s="187">
        <f t="shared" ca="1" si="75"/>
        <v>0</v>
      </c>
      <c r="P158" s="187">
        <f t="shared" ca="1" si="75"/>
        <v>0</v>
      </c>
      <c r="Q158" s="187">
        <f t="shared" ca="1" si="75"/>
        <v>0</v>
      </c>
      <c r="R158" s="187">
        <f t="shared" ca="1" si="75"/>
        <v>0</v>
      </c>
      <c r="S158" s="187">
        <f t="shared" ca="1" si="75"/>
        <v>0</v>
      </c>
      <c r="T158" s="187">
        <f t="shared" ca="1" si="75"/>
        <v>0</v>
      </c>
      <c r="U158" s="187">
        <f t="shared" ca="1" si="75"/>
        <v>0</v>
      </c>
      <c r="V158" s="187">
        <f t="shared" ca="1" si="75"/>
        <v>0</v>
      </c>
      <c r="W158" s="187">
        <f t="shared" ca="1" si="75"/>
        <v>0</v>
      </c>
      <c r="X158" s="187">
        <f t="shared" ca="1" si="75"/>
        <v>0</v>
      </c>
      <c r="Y158" s="187">
        <f t="shared" ca="1" si="75"/>
        <v>0</v>
      </c>
      <c r="Z158" s="259">
        <f ca="1">Z155-Z157</f>
        <v>0</v>
      </c>
    </row>
    <row r="159" spans="1:27" x14ac:dyDescent="0.2">
      <c r="A159" s="182" t="str">
        <f>Economics!A45</f>
        <v>Rio Grande 8</v>
      </c>
      <c r="B159" s="180">
        <f t="shared" ref="B159:Y159" si="76">B52</f>
        <v>59</v>
      </c>
      <c r="C159" s="180">
        <f t="shared" si="76"/>
        <v>60</v>
      </c>
      <c r="D159" s="180">
        <f t="shared" si="76"/>
        <v>59</v>
      </c>
      <c r="E159" s="180">
        <f>E52</f>
        <v>59</v>
      </c>
      <c r="F159" s="180">
        <f t="shared" si="76"/>
        <v>59</v>
      </c>
      <c r="G159" s="180">
        <f t="shared" si="76"/>
        <v>59</v>
      </c>
      <c r="H159" s="180">
        <f t="shared" si="76"/>
        <v>60</v>
      </c>
      <c r="I159" s="180">
        <f t="shared" si="76"/>
        <v>89</v>
      </c>
      <c r="J159" s="180">
        <f t="shared" si="76"/>
        <v>99</v>
      </c>
      <c r="K159" s="180">
        <f t="shared" si="76"/>
        <v>100</v>
      </c>
      <c r="L159" s="180">
        <f t="shared" si="76"/>
        <v>85</v>
      </c>
      <c r="M159" s="180">
        <f t="shared" si="76"/>
        <v>84</v>
      </c>
      <c r="N159" s="180">
        <f t="shared" si="76"/>
        <v>84</v>
      </c>
      <c r="O159" s="180">
        <f t="shared" si="76"/>
        <v>84</v>
      </c>
      <c r="P159" s="180">
        <f t="shared" si="76"/>
        <v>89</v>
      </c>
      <c r="Q159" s="180">
        <f t="shared" si="76"/>
        <v>84</v>
      </c>
      <c r="R159" s="180">
        <f t="shared" si="76"/>
        <v>88</v>
      </c>
      <c r="S159" s="180">
        <f t="shared" si="76"/>
        <v>85</v>
      </c>
      <c r="T159" s="180">
        <f t="shared" si="76"/>
        <v>85</v>
      </c>
      <c r="U159" s="180">
        <f t="shared" si="76"/>
        <v>84</v>
      </c>
      <c r="V159" s="180">
        <f t="shared" si="76"/>
        <v>85</v>
      </c>
      <c r="W159" s="180">
        <f t="shared" si="76"/>
        <v>73</v>
      </c>
      <c r="X159" s="180">
        <f t="shared" si="76"/>
        <v>59</v>
      </c>
      <c r="Y159" s="180">
        <f t="shared" si="76"/>
        <v>59</v>
      </c>
      <c r="Z159" s="218">
        <f>SUM(B159:Y159)</f>
        <v>1831</v>
      </c>
      <c r="AA159" s="317" t="s">
        <v>178</v>
      </c>
    </row>
    <row r="160" spans="1:27" x14ac:dyDescent="0.2">
      <c r="A160" s="184">
        <f>Economics!$I45</f>
        <v>2.09</v>
      </c>
      <c r="B160" s="188">
        <f t="shared" ref="B160:Y160" ca="1" si="77">IndGencost(B159,OFFSET(HeatRateStart,1,MATCH($A159,HeatRateNames,0)-1,250,1),$A160)</f>
        <v>21.433994119763373</v>
      </c>
      <c r="C160" s="188">
        <f t="shared" ca="1" si="77"/>
        <v>21.408914120793344</v>
      </c>
      <c r="D160" s="188">
        <f t="shared" ca="1" si="77"/>
        <v>21.433994119763373</v>
      </c>
      <c r="E160" s="188">
        <f ca="1">IndGencost(E159,OFFSET(HeatRateStart,1,MATCH($A159,HeatRateNames,0)-1,250,1),$A160)</f>
        <v>21.433994119763373</v>
      </c>
      <c r="F160" s="188">
        <f t="shared" ca="1" si="77"/>
        <v>21.433994119763373</v>
      </c>
      <c r="G160" s="188">
        <f t="shared" ca="1" si="77"/>
        <v>21.433994119763373</v>
      </c>
      <c r="H160" s="188">
        <f t="shared" ca="1" si="77"/>
        <v>21.408914120793344</v>
      </c>
      <c r="I160" s="188">
        <f t="shared" ca="1" si="77"/>
        <v>21.222998061012682</v>
      </c>
      <c r="J160" s="188">
        <f t="shared" ca="1" si="77"/>
        <v>21.303527458454621</v>
      </c>
      <c r="K160" s="188">
        <f t="shared" ca="1" si="77"/>
        <v>21.314028124690058</v>
      </c>
      <c r="L160" s="188">
        <f t="shared" ca="1" si="77"/>
        <v>21.205446482090391</v>
      </c>
      <c r="M160" s="188">
        <f t="shared" ca="1" si="77"/>
        <v>21.2026012721232</v>
      </c>
      <c r="N160" s="188">
        <f t="shared" ca="1" si="77"/>
        <v>21.2026012721232</v>
      </c>
      <c r="O160" s="188">
        <f t="shared" ca="1" si="77"/>
        <v>21.2026012721232</v>
      </c>
      <c r="P160" s="188">
        <f t="shared" ca="1" si="77"/>
        <v>21.222998061012682</v>
      </c>
      <c r="Q160" s="188">
        <f t="shared" ca="1" si="77"/>
        <v>21.2026012721232</v>
      </c>
      <c r="R160" s="188">
        <f t="shared" ca="1" si="77"/>
        <v>21.217726628644897</v>
      </c>
      <c r="S160" s="188">
        <f t="shared" ca="1" si="77"/>
        <v>21.205446482090391</v>
      </c>
      <c r="T160" s="188">
        <f t="shared" ca="1" si="77"/>
        <v>21.205446482090391</v>
      </c>
      <c r="U160" s="188">
        <f t="shared" ca="1" si="77"/>
        <v>21.2026012721232</v>
      </c>
      <c r="V160" s="188">
        <f t="shared" ca="1" si="77"/>
        <v>21.205446482090391</v>
      </c>
      <c r="W160" s="188">
        <f t="shared" ca="1" si="77"/>
        <v>21.220957279197158</v>
      </c>
      <c r="X160" s="188">
        <f t="shared" ca="1" si="77"/>
        <v>21.433994119763373</v>
      </c>
      <c r="Y160" s="188">
        <f t="shared" ca="1" si="77"/>
        <v>21.433994119763373</v>
      </c>
      <c r="Z160" s="258">
        <f t="array" aca="1" ref="Z160" ca="1">SUM(B159:Y159*B160:Y160)</f>
        <v>38970.689114578374</v>
      </c>
      <c r="AA160" s="317" t="s">
        <v>167</v>
      </c>
    </row>
    <row r="161" spans="1:27" x14ac:dyDescent="0.2">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
      <c r="A162" s="181"/>
      <c r="B162" s="189">
        <f t="shared" ref="B162:Y162" ca="1" si="78">IndGencost(B161,OFFSET(HeatRateStart,1,MATCH($A159,HeatRateNames,0)-1,250,1),$A160)</f>
        <v>21.521102330471788</v>
      </c>
      <c r="C162" s="189">
        <f t="shared" ca="1" si="78"/>
        <v>21.521102330471788</v>
      </c>
      <c r="D162" s="189">
        <f t="shared" ca="1" si="78"/>
        <v>21.521102330471788</v>
      </c>
      <c r="E162" s="189">
        <f ca="1">IndGencost(E161,OFFSET(HeatRateStart,1,MATCH($A159,HeatRateNames,0)-1,250,1),$A160)</f>
        <v>21.521102330471788</v>
      </c>
      <c r="F162" s="189">
        <f t="shared" ca="1" si="78"/>
        <v>21.309076432585719</v>
      </c>
      <c r="G162" s="189">
        <f t="shared" ca="1" si="78"/>
        <v>21.209946128964422</v>
      </c>
      <c r="H162" s="189">
        <f t="shared" ca="1" si="78"/>
        <v>21.521102330471788</v>
      </c>
      <c r="I162" s="189">
        <f t="shared" ca="1" si="78"/>
        <v>21.521102330471788</v>
      </c>
      <c r="J162" s="189">
        <f t="shared" ca="1" si="78"/>
        <v>21.521102330471788</v>
      </c>
      <c r="K162" s="189">
        <f t="shared" ca="1" si="78"/>
        <v>21.521102330471788</v>
      </c>
      <c r="L162" s="189">
        <f t="shared" ca="1" si="78"/>
        <v>21.521102330471788</v>
      </c>
      <c r="M162" s="189">
        <f t="shared" ca="1" si="78"/>
        <v>21.521102330471788</v>
      </c>
      <c r="N162" s="189">
        <f t="shared" ca="1" si="78"/>
        <v>21.521102330471788</v>
      </c>
      <c r="O162" s="189">
        <f t="shared" ca="1" si="78"/>
        <v>21.521102330471788</v>
      </c>
      <c r="P162" s="189">
        <f t="shared" ca="1" si="78"/>
        <v>21.521102330471788</v>
      </c>
      <c r="Q162" s="189">
        <f t="shared" ca="1" si="78"/>
        <v>21.521102330471788</v>
      </c>
      <c r="R162" s="189">
        <f t="shared" ca="1" si="78"/>
        <v>21.521102330471788</v>
      </c>
      <c r="S162" s="189">
        <f t="shared" ca="1" si="78"/>
        <v>21.521102330471788</v>
      </c>
      <c r="T162" s="189">
        <f t="shared" ca="1" si="78"/>
        <v>21.205446482090391</v>
      </c>
      <c r="U162" s="189">
        <f t="shared" ca="1" si="78"/>
        <v>21.438839119564399</v>
      </c>
      <c r="V162" s="189">
        <f t="shared" ca="1" si="78"/>
        <v>21.228825794855755</v>
      </c>
      <c r="W162" s="189">
        <f t="shared" ca="1" si="78"/>
        <v>21.309076432585719</v>
      </c>
      <c r="X162" s="189">
        <f t="shared" ca="1" si="78"/>
        <v>21.521102330471788</v>
      </c>
      <c r="Y162" s="189">
        <f t="shared" ca="1" si="78"/>
        <v>21.521102330471788</v>
      </c>
      <c r="Z162" s="257">
        <f t="array" aca="1" ref="Z162" ca="1">SUM(B161:Y161*B162:Y162)</f>
        <v>32125.526620690824</v>
      </c>
    </row>
    <row r="163" spans="1:27" ht="13.5" thickBot="1" x14ac:dyDescent="0.25">
      <c r="A163" s="186" t="s">
        <v>165</v>
      </c>
      <c r="B163" s="187">
        <f t="shared" ref="B163:Y163" ca="1" si="79">B162-B160</f>
        <v>8.7108210708414902E-2</v>
      </c>
      <c r="C163" s="187">
        <f t="shared" ca="1" si="79"/>
        <v>0.11218820967844323</v>
      </c>
      <c r="D163" s="187">
        <f t="shared" ca="1" si="79"/>
        <v>8.7108210708414902E-2</v>
      </c>
      <c r="E163" s="187">
        <f t="shared" ca="1" si="79"/>
        <v>8.7108210708414902E-2</v>
      </c>
      <c r="F163" s="187">
        <f t="shared" ca="1" si="79"/>
        <v>-0.12491768717765339</v>
      </c>
      <c r="G163" s="187">
        <f t="shared" ca="1" si="79"/>
        <v>-0.22404799079895099</v>
      </c>
      <c r="H163" s="187">
        <f t="shared" ca="1" si="79"/>
        <v>0.11218820967844323</v>
      </c>
      <c r="I163" s="187">
        <f t="shared" ca="1" si="79"/>
        <v>0.29810426945910606</v>
      </c>
      <c r="J163" s="187">
        <f t="shared" ca="1" si="79"/>
        <v>0.21757487201716685</v>
      </c>
      <c r="K163" s="187">
        <f t="shared" ca="1" si="79"/>
        <v>0.20707420578172986</v>
      </c>
      <c r="L163" s="187">
        <f t="shared" ca="1" si="79"/>
        <v>0.31565584838139671</v>
      </c>
      <c r="M163" s="187">
        <f t="shared" ca="1" si="79"/>
        <v>0.31850105834858766</v>
      </c>
      <c r="N163" s="187">
        <f t="shared" ca="1" si="79"/>
        <v>0.31850105834858766</v>
      </c>
      <c r="O163" s="187">
        <f t="shared" ca="1" si="79"/>
        <v>0.31850105834858766</v>
      </c>
      <c r="P163" s="187">
        <f t="shared" ca="1" si="79"/>
        <v>0.29810426945910606</v>
      </c>
      <c r="Q163" s="187">
        <f t="shared" ca="1" si="79"/>
        <v>0.31850105834858766</v>
      </c>
      <c r="R163" s="187">
        <f t="shared" ca="1" si="79"/>
        <v>0.30337570182689078</v>
      </c>
      <c r="S163" s="187">
        <f t="shared" ca="1" si="79"/>
        <v>0.31565584838139671</v>
      </c>
      <c r="T163" s="187">
        <f t="shared" ca="1" si="79"/>
        <v>0</v>
      </c>
      <c r="U163" s="187">
        <f t="shared" ca="1" si="79"/>
        <v>0.23623784744119902</v>
      </c>
      <c r="V163" s="187">
        <f t="shared" ca="1" si="79"/>
        <v>2.3379312765364091E-2</v>
      </c>
      <c r="W163" s="187">
        <f t="shared" ca="1" si="79"/>
        <v>8.8119153388561244E-2</v>
      </c>
      <c r="X163" s="187">
        <f t="shared" ca="1" si="79"/>
        <v>8.7108210708414902E-2</v>
      </c>
      <c r="Y163" s="187">
        <f t="shared" ca="1" si="79"/>
        <v>8.7108210708414902E-2</v>
      </c>
      <c r="Z163" s="259">
        <f ca="1">Z160-Z162</f>
        <v>6845.1624938875502</v>
      </c>
      <c r="AA163" s="261"/>
    </row>
    <row r="164" spans="1:27" s="268" customFormat="1" x14ac:dyDescent="0.2">
      <c r="A164" s="301" t="s">
        <v>182</v>
      </c>
      <c r="B164" s="302">
        <f t="shared" ref="B164:Y164" si="80">B159+B154+B149+B144+B139+B134+B129+B124+B119+B114+B109+B104+B101+B98+B95+B92+B89</f>
        <v>835</v>
      </c>
      <c r="C164" s="302">
        <f t="shared" si="80"/>
        <v>790</v>
      </c>
      <c r="D164" s="302">
        <f t="shared" si="80"/>
        <v>753</v>
      </c>
      <c r="E164" s="302">
        <f t="shared" si="80"/>
        <v>755</v>
      </c>
      <c r="F164" s="302">
        <f t="shared" si="80"/>
        <v>761</v>
      </c>
      <c r="G164" s="302">
        <f t="shared" si="80"/>
        <v>801</v>
      </c>
      <c r="H164" s="302">
        <f t="shared" si="80"/>
        <v>889</v>
      </c>
      <c r="I164" s="302">
        <f t="shared" si="80"/>
        <v>942</v>
      </c>
      <c r="J164" s="302">
        <f t="shared" si="80"/>
        <v>923</v>
      </c>
      <c r="K164" s="302">
        <f t="shared" si="80"/>
        <v>949</v>
      </c>
      <c r="L164" s="302">
        <f t="shared" si="80"/>
        <v>961</v>
      </c>
      <c r="M164" s="302">
        <f t="shared" si="80"/>
        <v>893</v>
      </c>
      <c r="N164" s="302">
        <f t="shared" si="80"/>
        <v>923</v>
      </c>
      <c r="O164" s="302">
        <f t="shared" si="80"/>
        <v>907</v>
      </c>
      <c r="P164" s="302">
        <f t="shared" si="80"/>
        <v>884</v>
      </c>
      <c r="Q164" s="302">
        <f t="shared" si="80"/>
        <v>871</v>
      </c>
      <c r="R164" s="302">
        <f t="shared" si="80"/>
        <v>895</v>
      </c>
      <c r="S164" s="302">
        <f t="shared" si="80"/>
        <v>918</v>
      </c>
      <c r="T164" s="302">
        <f t="shared" si="80"/>
        <v>998</v>
      </c>
      <c r="U164" s="302">
        <f t="shared" si="80"/>
        <v>970</v>
      </c>
      <c r="V164" s="302">
        <f t="shared" si="80"/>
        <v>965</v>
      </c>
      <c r="W164" s="302">
        <f t="shared" si="80"/>
        <v>944</v>
      </c>
      <c r="X164" s="302">
        <f t="shared" si="80"/>
        <v>883</v>
      </c>
      <c r="Y164" s="303">
        <f t="shared" si="80"/>
        <v>872</v>
      </c>
      <c r="Z164" s="269"/>
      <c r="AA164" s="267"/>
    </row>
    <row r="165" spans="1:27" s="268" customFormat="1" ht="13.5" customHeight="1" thickBot="1" x14ac:dyDescent="0.25">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914</v>
      </c>
      <c r="I165" s="305">
        <f t="shared" si="81"/>
        <v>978</v>
      </c>
      <c r="J165" s="305">
        <f t="shared" si="81"/>
        <v>974</v>
      </c>
      <c r="K165" s="305">
        <f t="shared" si="81"/>
        <v>980</v>
      </c>
      <c r="L165" s="305">
        <f t="shared" si="81"/>
        <v>1030</v>
      </c>
      <c r="M165" s="305">
        <f t="shared" si="81"/>
        <v>1029</v>
      </c>
      <c r="N165" s="305">
        <f t="shared" si="81"/>
        <v>1029</v>
      </c>
      <c r="O165" s="305">
        <f t="shared" si="81"/>
        <v>1027</v>
      </c>
      <c r="P165" s="305">
        <f t="shared" si="81"/>
        <v>1001</v>
      </c>
      <c r="Q165" s="305">
        <f t="shared" si="81"/>
        <v>999</v>
      </c>
      <c r="R165" s="305">
        <f t="shared" si="81"/>
        <v>1009</v>
      </c>
      <c r="S165" s="305">
        <f t="shared" si="81"/>
        <v>998</v>
      </c>
      <c r="T165" s="305">
        <f t="shared" si="81"/>
        <v>1129</v>
      </c>
      <c r="U165" s="305">
        <f t="shared" si="81"/>
        <v>1154</v>
      </c>
      <c r="V165" s="305">
        <f t="shared" si="81"/>
        <v>1068</v>
      </c>
      <c r="W165" s="305">
        <f t="shared" si="81"/>
        <v>1039</v>
      </c>
      <c r="X165" s="305">
        <f t="shared" si="81"/>
        <v>1010</v>
      </c>
      <c r="Y165" s="306">
        <f t="shared" si="81"/>
        <v>996</v>
      </c>
      <c r="Z165" s="270"/>
      <c r="AA165" s="173">
        <f ca="1">Z163+Z158+Z153+Z148+Z143+Z138+Z133+Z128+Z123+Z118+Z113+Z108+Z103+Z100+Z97+Z94+Z91</f>
        <v>-47388.416093556421</v>
      </c>
    </row>
    <row r="166" spans="1:27" x14ac:dyDescent="0.2">
      <c r="A166" s="329" t="s">
        <v>184</v>
      </c>
      <c r="B166" s="330">
        <f t="shared" ref="B166:Y166" si="82">B165-B164</f>
        <v>164</v>
      </c>
      <c r="C166" s="330">
        <f t="shared" si="82"/>
        <v>108</v>
      </c>
      <c r="D166" s="330">
        <f t="shared" si="82"/>
        <v>115</v>
      </c>
      <c r="E166" s="330">
        <f t="shared" si="82"/>
        <v>113</v>
      </c>
      <c r="F166" s="330">
        <f t="shared" si="82"/>
        <v>117</v>
      </c>
      <c r="G166" s="330">
        <f t="shared" si="82"/>
        <v>87</v>
      </c>
      <c r="H166" s="330">
        <f t="shared" si="82"/>
        <v>25</v>
      </c>
      <c r="I166" s="330">
        <f t="shared" si="82"/>
        <v>36</v>
      </c>
      <c r="J166" s="330">
        <f t="shared" si="82"/>
        <v>51</v>
      </c>
      <c r="K166" s="330">
        <f t="shared" si="82"/>
        <v>31</v>
      </c>
      <c r="L166" s="330">
        <f t="shared" si="82"/>
        <v>69</v>
      </c>
      <c r="M166" s="330">
        <f t="shared" si="82"/>
        <v>136</v>
      </c>
      <c r="N166" s="330">
        <f t="shared" si="82"/>
        <v>106</v>
      </c>
      <c r="O166" s="330">
        <f t="shared" si="82"/>
        <v>120</v>
      </c>
      <c r="P166" s="330">
        <f t="shared" si="82"/>
        <v>117</v>
      </c>
      <c r="Q166" s="330">
        <f t="shared" si="82"/>
        <v>128</v>
      </c>
      <c r="R166" s="330">
        <f t="shared" si="82"/>
        <v>114</v>
      </c>
      <c r="S166" s="330">
        <f t="shared" si="82"/>
        <v>80</v>
      </c>
      <c r="T166" s="330">
        <f t="shared" si="82"/>
        <v>131</v>
      </c>
      <c r="U166" s="330">
        <f t="shared" si="82"/>
        <v>184</v>
      </c>
      <c r="V166" s="330">
        <f t="shared" si="82"/>
        <v>103</v>
      </c>
      <c r="W166" s="330">
        <f t="shared" si="82"/>
        <v>95</v>
      </c>
      <c r="X166" s="330">
        <f t="shared" si="82"/>
        <v>127</v>
      </c>
      <c r="Y166" s="331">
        <f t="shared" si="82"/>
        <v>124</v>
      </c>
      <c r="Z166" s="335">
        <f>SUM(B166:Y166)</f>
        <v>2481</v>
      </c>
    </row>
    <row r="167" spans="1:27" s="324" customFormat="1" ht="32.25" customHeight="1" thickBot="1" x14ac:dyDescent="0.25">
      <c r="A167" s="332" t="s">
        <v>185</v>
      </c>
      <c r="B167" s="333">
        <f t="shared" ref="B167:Y167" ca="1" si="83">B58</f>
        <v>1</v>
      </c>
      <c r="C167" s="333">
        <f t="shared" ca="1" si="83"/>
        <v>7</v>
      </c>
      <c r="D167" s="333">
        <f t="shared" ca="1" si="83"/>
        <v>4</v>
      </c>
      <c r="E167" s="333">
        <f ca="1">E58</f>
        <v>0</v>
      </c>
      <c r="F167" s="333">
        <f t="shared" ca="1" si="83"/>
        <v>-5</v>
      </c>
      <c r="G167" s="333">
        <f t="shared" ca="1" si="83"/>
        <v>0</v>
      </c>
      <c r="H167" s="333">
        <f t="shared" ca="1" si="83"/>
        <v>-3</v>
      </c>
      <c r="I167" s="333">
        <f t="shared" ca="1" si="83"/>
        <v>17</v>
      </c>
      <c r="J167" s="333">
        <f t="shared" ca="1" si="83"/>
        <v>-3</v>
      </c>
      <c r="K167" s="333">
        <f t="shared" ca="1" si="83"/>
        <v>-3</v>
      </c>
      <c r="L167" s="333">
        <f t="shared" ca="1" si="83"/>
        <v>-3</v>
      </c>
      <c r="M167" s="333">
        <f t="shared" ca="1" si="83"/>
        <v>-5</v>
      </c>
      <c r="N167" s="333">
        <f t="shared" ca="1" si="83"/>
        <v>5</v>
      </c>
      <c r="O167" s="333">
        <f t="shared" ca="1" si="83"/>
        <v>-5</v>
      </c>
      <c r="P167" s="333">
        <f t="shared" ca="1" si="83"/>
        <v>0</v>
      </c>
      <c r="Q167" s="333">
        <f t="shared" ca="1" si="83"/>
        <v>-4</v>
      </c>
      <c r="R167" s="333">
        <f t="shared" ca="1" si="83"/>
        <v>-2</v>
      </c>
      <c r="S167" s="333">
        <f t="shared" ca="1" si="83"/>
        <v>-6</v>
      </c>
      <c r="T167" s="333">
        <f t="shared" ca="1" si="83"/>
        <v>6</v>
      </c>
      <c r="U167" s="333">
        <f t="shared" ca="1" si="83"/>
        <v>-1</v>
      </c>
      <c r="V167" s="333">
        <f t="shared" ca="1" si="83"/>
        <v>3</v>
      </c>
      <c r="W167" s="333">
        <f t="shared" ca="1" si="83"/>
        <v>-9</v>
      </c>
      <c r="X167" s="333">
        <f t="shared" ca="1" si="83"/>
        <v>9</v>
      </c>
      <c r="Y167" s="334">
        <f t="shared" ca="1" si="83"/>
        <v>-1</v>
      </c>
      <c r="Z167" s="322">
        <f ca="1">SUM(B167:Y167)</f>
        <v>2</v>
      </c>
      <c r="AA167" s="323"/>
    </row>
    <row r="168" spans="1:27" ht="13.5" hidden="1" thickBot="1" x14ac:dyDescent="0.25">
      <c r="A168" s="325" t="s">
        <v>186</v>
      </c>
      <c r="B168" s="326">
        <f t="shared" ref="B168:Y168" ca="1" si="84">B167+B166</f>
        <v>165</v>
      </c>
      <c r="C168" s="326">
        <f t="shared" ca="1" si="84"/>
        <v>115</v>
      </c>
      <c r="D168" s="326">
        <f t="shared" ca="1" si="84"/>
        <v>119</v>
      </c>
      <c r="E168" s="326">
        <f t="shared" ca="1" si="84"/>
        <v>113</v>
      </c>
      <c r="F168" s="326">
        <f t="shared" ca="1" si="84"/>
        <v>112</v>
      </c>
      <c r="G168" s="326">
        <f t="shared" ca="1" si="84"/>
        <v>87</v>
      </c>
      <c r="H168" s="326">
        <f t="shared" ca="1" si="84"/>
        <v>22</v>
      </c>
      <c r="I168" s="326">
        <f t="shared" ca="1" si="84"/>
        <v>53</v>
      </c>
      <c r="J168" s="326">
        <f t="shared" ca="1" si="84"/>
        <v>48</v>
      </c>
      <c r="K168" s="326">
        <f t="shared" ca="1" si="84"/>
        <v>28</v>
      </c>
      <c r="L168" s="326">
        <f t="shared" ca="1" si="84"/>
        <v>66</v>
      </c>
      <c r="M168" s="326">
        <f t="shared" ca="1" si="84"/>
        <v>131</v>
      </c>
      <c r="N168" s="326">
        <f t="shared" ca="1" si="84"/>
        <v>111</v>
      </c>
      <c r="O168" s="326">
        <f t="shared" ca="1" si="84"/>
        <v>115</v>
      </c>
      <c r="P168" s="326">
        <f t="shared" ca="1" si="84"/>
        <v>117</v>
      </c>
      <c r="Q168" s="326">
        <f t="shared" ca="1" si="84"/>
        <v>124</v>
      </c>
      <c r="R168" s="326">
        <f t="shared" ca="1" si="84"/>
        <v>112</v>
      </c>
      <c r="S168" s="326">
        <f t="shared" ca="1" si="84"/>
        <v>74</v>
      </c>
      <c r="T168" s="326">
        <f t="shared" ca="1" si="84"/>
        <v>137</v>
      </c>
      <c r="U168" s="326">
        <f t="shared" ca="1" si="84"/>
        <v>183</v>
      </c>
      <c r="V168" s="326">
        <f t="shared" ca="1" si="84"/>
        <v>106</v>
      </c>
      <c r="W168" s="326">
        <f t="shared" ca="1" si="84"/>
        <v>86</v>
      </c>
      <c r="X168" s="326">
        <f t="shared" ca="1" si="84"/>
        <v>136</v>
      </c>
      <c r="Y168" s="326">
        <f t="shared" ca="1" si="84"/>
        <v>123</v>
      </c>
      <c r="Z168" s="327">
        <f ca="1">SUM(B168:Y168)</f>
        <v>2483</v>
      </c>
    </row>
    <row r="169" spans="1:27" ht="13.5" thickBot="1" x14ac:dyDescent="0.25">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2483</v>
      </c>
      <c r="AA169" s="173" t="s">
        <v>187</v>
      </c>
    </row>
    <row r="170" spans="1:27" ht="43.5" customHeight="1" thickBot="1" x14ac:dyDescent="0.25">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283</v>
      </c>
      <c r="C171" s="337">
        <f t="shared" si="85"/>
        <v>258</v>
      </c>
      <c r="D171" s="337">
        <f t="shared" si="85"/>
        <v>294</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294</v>
      </c>
      <c r="F171" s="337">
        <f t="shared" si="85"/>
        <v>288</v>
      </c>
      <c r="G171" s="337">
        <f t="shared" si="85"/>
        <v>248</v>
      </c>
      <c r="H171" s="337">
        <f t="shared" si="85"/>
        <v>161</v>
      </c>
      <c r="I171" s="337">
        <f t="shared" si="85"/>
        <v>216</v>
      </c>
      <c r="J171" s="337">
        <f t="shared" si="85"/>
        <v>240</v>
      </c>
      <c r="K171" s="337">
        <f t="shared" si="85"/>
        <v>222</v>
      </c>
      <c r="L171" s="337">
        <f t="shared" si="85"/>
        <v>194</v>
      </c>
      <c r="M171" s="337">
        <f t="shared" si="85"/>
        <v>157</v>
      </c>
      <c r="N171" s="337">
        <f t="shared" si="85"/>
        <v>230</v>
      </c>
      <c r="O171" s="337">
        <f t="shared" si="85"/>
        <v>243</v>
      </c>
      <c r="P171" s="337">
        <f t="shared" si="85"/>
        <v>244</v>
      </c>
      <c r="Q171" s="337">
        <f t="shared" si="85"/>
        <v>250</v>
      </c>
      <c r="R171" s="337">
        <f t="shared" si="85"/>
        <v>242</v>
      </c>
      <c r="S171" s="337">
        <f t="shared" si="85"/>
        <v>273</v>
      </c>
      <c r="T171" s="337">
        <f t="shared" si="85"/>
        <v>227</v>
      </c>
      <c r="U171" s="337">
        <f t="shared" si="85"/>
        <v>254</v>
      </c>
      <c r="V171" s="337">
        <f t="shared" si="85"/>
        <v>260</v>
      </c>
      <c r="W171" s="337">
        <f t="shared" si="85"/>
        <v>200</v>
      </c>
      <c r="X171" s="337">
        <f t="shared" si="85"/>
        <v>244</v>
      </c>
      <c r="Y171" s="338">
        <f t="shared" si="85"/>
        <v>243</v>
      </c>
      <c r="Z171" s="268"/>
    </row>
    <row r="172" spans="1:27" ht="28.5" customHeight="1" thickBot="1" x14ac:dyDescent="0.25">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204</v>
      </c>
      <c r="I172" s="340">
        <f t="shared" si="86"/>
        <v>140</v>
      </c>
      <c r="J172" s="340">
        <f t="shared" si="86"/>
        <v>144</v>
      </c>
      <c r="K172" s="340">
        <f t="shared" si="86"/>
        <v>138</v>
      </c>
      <c r="L172" s="340">
        <f t="shared" si="86"/>
        <v>88</v>
      </c>
      <c r="M172" s="340">
        <f t="shared" si="86"/>
        <v>89</v>
      </c>
      <c r="N172" s="340">
        <f t="shared" si="86"/>
        <v>89</v>
      </c>
      <c r="O172" s="340">
        <f t="shared" si="86"/>
        <v>91</v>
      </c>
      <c r="P172" s="340">
        <f t="shared" si="86"/>
        <v>117</v>
      </c>
      <c r="Q172" s="340">
        <f t="shared" si="86"/>
        <v>119</v>
      </c>
      <c r="R172" s="340">
        <f t="shared" si="86"/>
        <v>109</v>
      </c>
      <c r="S172" s="340">
        <f t="shared" si="86"/>
        <v>120</v>
      </c>
      <c r="T172" s="340">
        <f t="shared" si="86"/>
        <v>18</v>
      </c>
      <c r="U172" s="340">
        <f t="shared" si="86"/>
        <v>18</v>
      </c>
      <c r="V172" s="340">
        <f t="shared" si="86"/>
        <v>84</v>
      </c>
      <c r="W172" s="340">
        <f t="shared" si="86"/>
        <v>88</v>
      </c>
      <c r="X172" s="340">
        <f t="shared" si="86"/>
        <v>108</v>
      </c>
      <c r="Y172" s="341">
        <f t="shared" si="86"/>
        <v>122</v>
      </c>
      <c r="Z172" s="268"/>
    </row>
    <row r="173" spans="1:27" hidden="1" x14ac:dyDescent="0.2">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
      <c r="B175" s="274" t="s">
        <v>192</v>
      </c>
      <c r="C175" s="275"/>
      <c r="D175" s="275"/>
      <c r="E175" s="275"/>
      <c r="F175" s="275"/>
      <c r="G175" s="276"/>
      <c r="H175" s="307" t="s">
        <v>193</v>
      </c>
      <c r="I175" s="308"/>
      <c r="J175" s="308"/>
      <c r="K175" s="309">
        <f ca="1">Z88</f>
        <v>-47388.416093556385</v>
      </c>
      <c r="L175" s="277"/>
      <c r="M175" s="277"/>
      <c r="N175" s="277"/>
      <c r="O175" s="277"/>
      <c r="P175" s="278"/>
      <c r="AA175"/>
    </row>
    <row r="176" spans="1:27" x14ac:dyDescent="0.2">
      <c r="B176" s="263" t="s">
        <v>194</v>
      </c>
      <c r="C176" s="157"/>
      <c r="D176" s="157"/>
      <c r="E176" s="157"/>
      <c r="F176" s="157"/>
      <c r="G176" s="157"/>
      <c r="H176" s="319" t="s">
        <v>195</v>
      </c>
      <c r="I176" s="320"/>
      <c r="J176" s="320"/>
      <c r="K176" s="321">
        <v>524</v>
      </c>
      <c r="L176" s="157" t="s">
        <v>196</v>
      </c>
      <c r="M176" s="157"/>
      <c r="N176" s="157"/>
      <c r="O176" s="157"/>
      <c r="P176" s="262"/>
    </row>
    <row r="177" spans="2:26" x14ac:dyDescent="0.2">
      <c r="B177" s="263" t="s">
        <v>197</v>
      </c>
      <c r="C177" s="157"/>
      <c r="D177" s="157"/>
      <c r="E177" s="157"/>
      <c r="F177" s="157"/>
      <c r="G177" s="157"/>
      <c r="H177" s="157"/>
      <c r="I177" s="157"/>
      <c r="J177" s="157"/>
      <c r="K177" s="157"/>
      <c r="L177" s="157"/>
      <c r="M177" s="157"/>
      <c r="N177" s="157"/>
      <c r="O177" s="157"/>
      <c r="P177" s="262"/>
    </row>
    <row r="178" spans="2:26" x14ac:dyDescent="0.2">
      <c r="B178" s="263" t="s">
        <v>198</v>
      </c>
      <c r="C178" s="157"/>
      <c r="D178" s="157"/>
      <c r="E178" s="157"/>
      <c r="F178" s="157"/>
      <c r="G178" s="157"/>
      <c r="H178" s="157"/>
      <c r="I178" s="157"/>
      <c r="J178" s="157"/>
      <c r="K178" s="157"/>
      <c r="L178" s="157"/>
      <c r="M178" s="157"/>
      <c r="N178" s="157"/>
      <c r="O178" s="157"/>
      <c r="P178" s="262"/>
    </row>
    <row r="179" spans="2:26" x14ac:dyDescent="0.2">
      <c r="B179" s="263" t="s">
        <v>199</v>
      </c>
      <c r="C179" s="157"/>
      <c r="D179" s="157"/>
      <c r="E179" s="157"/>
      <c r="F179" s="157"/>
      <c r="G179" s="157"/>
      <c r="H179" s="157"/>
      <c r="I179" s="157"/>
      <c r="J179" s="157"/>
      <c r="K179" s="157"/>
      <c r="L179" s="157"/>
      <c r="M179" s="157"/>
      <c r="N179" s="157"/>
      <c r="O179" s="157"/>
      <c r="P179" s="262"/>
    </row>
    <row r="180" spans="2:26" x14ac:dyDescent="0.2">
      <c r="B180" s="342" t="s">
        <v>200</v>
      </c>
      <c r="C180" s="157"/>
      <c r="D180" s="157"/>
      <c r="E180" s="157"/>
      <c r="F180" s="157"/>
      <c r="G180" s="157"/>
      <c r="H180" s="157"/>
      <c r="I180" s="157"/>
      <c r="J180" s="157"/>
      <c r="K180" s="157"/>
      <c r="L180" s="157"/>
      <c r="M180" s="157"/>
      <c r="N180" s="157"/>
      <c r="O180" s="157"/>
      <c r="P180" s="262"/>
    </row>
    <row r="181" spans="2:26" x14ac:dyDescent="0.2">
      <c r="B181" s="279" t="s">
        <v>201</v>
      </c>
      <c r="C181" s="280"/>
      <c r="D181" s="157"/>
      <c r="E181" s="157"/>
      <c r="F181" s="157"/>
      <c r="G181" s="157"/>
      <c r="H181" s="157"/>
      <c r="I181" s="157"/>
      <c r="J181" s="157"/>
      <c r="K181" s="157"/>
      <c r="L181" s="157"/>
      <c r="M181" s="157"/>
      <c r="N181" s="157"/>
      <c r="O181" s="157"/>
      <c r="P181" s="262"/>
    </row>
    <row r="182" spans="2:26" x14ac:dyDescent="0.2">
      <c r="B182" s="343" t="s">
        <v>202</v>
      </c>
      <c r="C182" s="157"/>
      <c r="D182" s="157"/>
      <c r="E182" s="157"/>
      <c r="F182" s="157"/>
      <c r="G182" s="157"/>
      <c r="H182" s="157"/>
      <c r="I182" s="157"/>
      <c r="J182" s="157"/>
      <c r="K182" s="157"/>
      <c r="L182" s="157"/>
      <c r="M182" s="157"/>
      <c r="N182" s="157"/>
      <c r="O182" s="157"/>
      <c r="P182" s="262"/>
    </row>
    <row r="183" spans="2:26" x14ac:dyDescent="0.2">
      <c r="B183" s="344" t="s">
        <v>203</v>
      </c>
      <c r="C183" s="157"/>
      <c r="D183" s="157"/>
      <c r="E183" s="157"/>
      <c r="F183" s="157"/>
      <c r="G183" s="157"/>
      <c r="H183" s="157"/>
      <c r="I183" s="157"/>
      <c r="J183" s="157"/>
      <c r="K183" s="157"/>
      <c r="L183" s="157"/>
      <c r="M183" s="157"/>
      <c r="N183" s="157"/>
      <c r="O183" s="157"/>
      <c r="P183" s="262"/>
    </row>
    <row r="184" spans="2:26" x14ac:dyDescent="0.2">
      <c r="B184" s="264"/>
      <c r="C184" s="265"/>
      <c r="D184" s="265"/>
      <c r="E184" s="265"/>
      <c r="F184" s="265"/>
      <c r="G184" s="265"/>
      <c r="H184" s="265"/>
      <c r="I184" s="265"/>
      <c r="J184" s="265"/>
      <c r="K184" s="265"/>
      <c r="L184" s="265"/>
      <c r="M184" s="265"/>
      <c r="N184" s="265"/>
      <c r="O184" s="265"/>
      <c r="P184" s="266"/>
    </row>
    <row r="185" spans="2:26" x14ac:dyDescent="0.2">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
      <c r="A199" s="481"/>
    </row>
    <row r="200" spans="1:25" x14ac:dyDescent="0.2">
      <c r="A200" s="481"/>
    </row>
    <row r="222" spans="5:5" x14ac:dyDescent="0.2">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opLeftCell="B1" zoomScale="60" zoomScaleNormal="65" workbookViewId="0">
      <selection activeCell="B77" sqref="B77"/>
    </sheetView>
  </sheetViews>
  <sheetFormatPr defaultColWidth="6.140625" defaultRowHeight="12.75" x14ac:dyDescent="0.2"/>
  <cols>
    <col min="1" max="1" width="24.5703125" style="369" customWidth="1"/>
    <col min="2" max="2" width="9.5703125" style="369" customWidth="1"/>
    <col min="3" max="4" width="8.42578125" style="369" customWidth="1"/>
    <col min="5" max="5" width="5.28515625" style="369" customWidth="1"/>
    <col min="6" max="12" width="7" style="369" customWidth="1"/>
    <col min="13" max="14" width="7" style="384" customWidth="1"/>
    <col min="15" max="28" width="7" style="369" customWidth="1"/>
    <col min="29" max="29" width="7" style="464" customWidth="1"/>
    <col min="30" max="30" width="11.28515625" style="369" customWidth="1"/>
    <col min="31" max="31" width="11.42578125" style="373" customWidth="1"/>
    <col min="32" max="16384" width="6.140625" style="369"/>
  </cols>
  <sheetData>
    <row r="1" spans="1:75" s="360" customFormat="1" ht="15" customHeight="1" x14ac:dyDescent="0.2">
      <c r="A1" s="356" t="s">
        <v>385</v>
      </c>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6.25" thickBot="1" x14ac:dyDescent="0.25">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
      <c r="A3" s="608" t="s">
        <v>62</v>
      </c>
      <c r="B3" s="614" t="s">
        <v>61</v>
      </c>
      <c r="C3" s="615" t="s">
        <v>151</v>
      </c>
      <c r="D3" s="615"/>
      <c r="E3" s="611"/>
      <c r="F3" s="659">
        <v>84</v>
      </c>
      <c r="G3" s="659">
        <v>84</v>
      </c>
      <c r="H3" s="659">
        <v>75</v>
      </c>
      <c r="I3" s="659">
        <v>75</v>
      </c>
      <c r="J3" s="659">
        <v>75</v>
      </c>
      <c r="K3" s="659">
        <v>75</v>
      </c>
      <c r="L3" s="659">
        <v>84</v>
      </c>
      <c r="M3" s="659">
        <v>108</v>
      </c>
      <c r="N3" s="659">
        <v>108</v>
      </c>
      <c r="O3" s="659">
        <v>108</v>
      </c>
      <c r="P3" s="659">
        <v>108</v>
      </c>
      <c r="Q3" s="659">
        <v>108</v>
      </c>
      <c r="R3" s="659">
        <v>108</v>
      </c>
      <c r="S3" s="659">
        <v>108</v>
      </c>
      <c r="T3" s="659">
        <v>100</v>
      </c>
      <c r="U3" s="659">
        <v>100</v>
      </c>
      <c r="V3" s="659">
        <v>100</v>
      </c>
      <c r="W3" s="659">
        <v>100</v>
      </c>
      <c r="X3" s="659">
        <v>100</v>
      </c>
      <c r="Y3" s="659">
        <v>108</v>
      </c>
      <c r="Z3" s="659">
        <v>108</v>
      </c>
      <c r="AA3" s="659">
        <v>108</v>
      </c>
      <c r="AB3" s="659">
        <v>108</v>
      </c>
      <c r="AC3" s="659">
        <v>84</v>
      </c>
      <c r="AD3" s="600">
        <f>SUM(F3:AC3)</f>
        <v>2324</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
      <c r="A4" s="609" t="s">
        <v>64</v>
      </c>
      <c r="B4" s="616" t="s">
        <v>61</v>
      </c>
      <c r="C4" s="617"/>
      <c r="D4" s="617"/>
      <c r="E4" s="612"/>
      <c r="F4" s="597">
        <v>55</v>
      </c>
      <c r="G4" s="597">
        <v>55</v>
      </c>
      <c r="H4" s="597">
        <v>55</v>
      </c>
      <c r="I4" s="597">
        <v>55</v>
      </c>
      <c r="J4" s="597">
        <v>55</v>
      </c>
      <c r="K4" s="597">
        <v>60</v>
      </c>
      <c r="L4" s="597">
        <v>70</v>
      </c>
      <c r="M4" s="597">
        <v>75</v>
      </c>
      <c r="N4" s="597">
        <v>75</v>
      </c>
      <c r="O4" s="597">
        <v>75</v>
      </c>
      <c r="P4" s="597">
        <v>75</v>
      </c>
      <c r="Q4" s="597">
        <v>75</v>
      </c>
      <c r="R4" s="597">
        <v>75</v>
      </c>
      <c r="S4" s="597">
        <v>75</v>
      </c>
      <c r="T4" s="597">
        <v>70</v>
      </c>
      <c r="U4" s="597">
        <v>70</v>
      </c>
      <c r="V4" s="597">
        <v>70</v>
      </c>
      <c r="W4" s="597">
        <v>75</v>
      </c>
      <c r="X4" s="597">
        <v>75</v>
      </c>
      <c r="Y4" s="597">
        <v>75</v>
      </c>
      <c r="Z4" s="597">
        <v>75</v>
      </c>
      <c r="AA4" s="597">
        <v>75</v>
      </c>
      <c r="AB4" s="597">
        <v>65</v>
      </c>
      <c r="AC4" s="597">
        <v>60</v>
      </c>
      <c r="AD4" s="564">
        <f>SUM(F4:AC4)</f>
        <v>1640</v>
      </c>
      <c r="AE4" s="565">
        <f>AD4*D4</f>
        <v>0</v>
      </c>
      <c r="AF4" s="644" t="str">
        <f>IF(AD4&lt;0,"buy","sell")</f>
        <v>sell</v>
      </c>
    </row>
    <row r="5" spans="1:75" s="355" customFormat="1" x14ac:dyDescent="0.2">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0</v>
      </c>
      <c r="X5" s="675">
        <v>0</v>
      </c>
      <c r="Y5" s="675">
        <v>0</v>
      </c>
      <c r="Z5" s="675">
        <v>0</v>
      </c>
      <c r="AA5" s="675">
        <v>0</v>
      </c>
      <c r="AB5" s="675">
        <v>0</v>
      </c>
      <c r="AC5" s="675">
        <v>0</v>
      </c>
      <c r="AD5" s="564">
        <f>SUM(F5:AC5)</f>
        <v>0</v>
      </c>
      <c r="AE5" s="565">
        <f>AD5*D5</f>
        <v>0</v>
      </c>
      <c r="AF5" s="525" t="str">
        <f>IF(AD5&lt;0,"buy","sell")</f>
        <v>sell</v>
      </c>
    </row>
    <row r="6" spans="1:75" s="355" customFormat="1" x14ac:dyDescent="0.2">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
      <c r="A7" s="610" t="s">
        <v>3</v>
      </c>
      <c r="B7" s="618"/>
      <c r="C7" s="618" t="s">
        <v>351</v>
      </c>
      <c r="D7" s="618"/>
      <c r="E7" s="637"/>
      <c r="F7" s="597"/>
      <c r="G7" s="597">
        <v>-100</v>
      </c>
      <c r="H7" s="597">
        <v>-100</v>
      </c>
      <c r="I7" s="597">
        <v>-100</v>
      </c>
      <c r="J7" s="597">
        <v>-130</v>
      </c>
      <c r="K7" s="597">
        <v>-130</v>
      </c>
      <c r="L7" s="597">
        <v>-130</v>
      </c>
      <c r="M7" s="597">
        <v>-80</v>
      </c>
      <c r="N7" s="597">
        <v>-80</v>
      </c>
      <c r="O7" s="597">
        <v>-80</v>
      </c>
      <c r="P7" s="597">
        <v>-80</v>
      </c>
      <c r="Q7" s="597">
        <v>-80</v>
      </c>
      <c r="R7" s="597">
        <v>-80</v>
      </c>
      <c r="S7" s="597">
        <v>-80</v>
      </c>
      <c r="T7" s="597">
        <v>-80</v>
      </c>
      <c r="U7" s="597">
        <v>-80</v>
      </c>
      <c r="V7" s="597">
        <v>-80</v>
      </c>
      <c r="W7" s="597">
        <v>-133</v>
      </c>
      <c r="X7" s="597">
        <v>-133</v>
      </c>
      <c r="Y7" s="597">
        <v>-133</v>
      </c>
      <c r="Z7" s="597">
        <v>-133</v>
      </c>
      <c r="AA7" s="597">
        <v>-80</v>
      </c>
      <c r="AB7" s="597">
        <v>-80</v>
      </c>
      <c r="AC7" s="597">
        <v>-130</v>
      </c>
      <c r="AD7" s="598"/>
      <c r="AE7" s="638"/>
      <c r="AF7" s="639"/>
    </row>
    <row r="8" spans="1:75" s="403" customFormat="1" x14ac:dyDescent="0.2">
      <c r="A8" s="610"/>
      <c r="B8" s="618"/>
      <c r="C8" s="618"/>
      <c r="D8" s="618"/>
      <c r="E8" s="613"/>
      <c r="F8" s="597"/>
      <c r="G8" s="597"/>
      <c r="H8" s="597"/>
      <c r="I8" s="597"/>
      <c r="J8" s="597"/>
      <c r="K8" s="597"/>
      <c r="L8" s="597"/>
      <c r="M8" s="597"/>
      <c r="N8" s="597"/>
      <c r="O8" s="597"/>
      <c r="P8" s="597"/>
      <c r="Q8" s="597"/>
      <c r="R8" s="597"/>
      <c r="S8" s="597"/>
      <c r="T8" s="597"/>
      <c r="U8" s="597"/>
      <c r="V8" s="597"/>
      <c r="W8" s="597"/>
      <c r="X8" s="597"/>
      <c r="Y8" s="597"/>
      <c r="Z8" s="597"/>
      <c r="AA8" s="597"/>
      <c r="AB8" s="597"/>
      <c r="AC8" s="597"/>
      <c r="AD8" s="564">
        <f>SUM(E8:AC8)</f>
        <v>0</v>
      </c>
      <c r="AE8" s="643">
        <f>AD8*D8</f>
        <v>0</v>
      </c>
      <c r="AF8" s="644" t="str">
        <f>IF(AD8&lt;0,"buy","sell")</f>
        <v>sell</v>
      </c>
    </row>
    <row r="9" spans="1:75" s="403" customFormat="1" x14ac:dyDescent="0.2">
      <c r="A9" s="610"/>
      <c r="B9" s="618"/>
      <c r="C9" s="618"/>
      <c r="D9" s="618"/>
      <c r="E9" s="637"/>
      <c r="F9" s="597"/>
      <c r="G9" s="597"/>
      <c r="H9" s="597"/>
      <c r="I9" s="597"/>
      <c r="J9" s="597"/>
      <c r="K9" s="597"/>
      <c r="L9" s="597"/>
      <c r="M9" s="597"/>
      <c r="N9" s="597"/>
      <c r="O9" s="597"/>
      <c r="P9" s="597"/>
      <c r="Q9" s="597"/>
      <c r="R9" s="597"/>
      <c r="S9" s="597"/>
      <c r="T9" s="597"/>
      <c r="U9" s="597"/>
      <c r="V9" s="597"/>
      <c r="W9" s="597"/>
      <c r="X9" s="597"/>
      <c r="Y9" s="597"/>
      <c r="Z9" s="597"/>
      <c r="AA9" s="597"/>
      <c r="AB9" s="597"/>
      <c r="AC9" s="597"/>
      <c r="AD9" s="564">
        <f>SUM(E9:AC9)</f>
        <v>0</v>
      </c>
      <c r="AE9" s="643">
        <f>AD9*D9</f>
        <v>0</v>
      </c>
      <c r="AF9" s="644" t="str">
        <f>IF(AD9&lt;0,"buy","sell")</f>
        <v>sell</v>
      </c>
    </row>
    <row r="10" spans="1:75" s="355" customFormat="1" x14ac:dyDescent="0.2">
      <c r="A10" s="610"/>
      <c r="B10" s="618"/>
      <c r="C10" s="618"/>
      <c r="D10" s="618"/>
      <c r="E10" s="613"/>
      <c r="F10" s="597"/>
      <c r="G10" s="597"/>
      <c r="H10" s="597"/>
      <c r="I10" s="597"/>
      <c r="J10" s="597"/>
      <c r="K10" s="597"/>
      <c r="L10" s="597"/>
      <c r="M10" s="597"/>
      <c r="N10" s="597"/>
      <c r="O10" s="597"/>
      <c r="P10" s="597"/>
      <c r="Q10" s="597"/>
      <c r="R10" s="597"/>
      <c r="S10" s="597"/>
      <c r="T10" s="597"/>
      <c r="U10" s="597"/>
      <c r="V10" s="597"/>
      <c r="W10" s="597"/>
      <c r="X10" s="597"/>
      <c r="Y10" s="597"/>
      <c r="Z10" s="597"/>
      <c r="AA10" s="597"/>
      <c r="AB10" s="597"/>
      <c r="AC10" s="597"/>
      <c r="AD10" s="564">
        <f>SUM(F10:AC10)</f>
        <v>0</v>
      </c>
      <c r="AE10" s="565"/>
      <c r="AF10" s="525"/>
    </row>
    <row r="11" spans="1:75" s="403" customFormat="1" x14ac:dyDescent="0.2">
      <c r="A11" s="610"/>
      <c r="B11" s="618"/>
      <c r="C11" s="656"/>
      <c r="D11" s="618"/>
      <c r="E11" s="637"/>
      <c r="F11" s="597"/>
      <c r="G11" s="597"/>
      <c r="H11" s="597"/>
      <c r="I11" s="597"/>
      <c r="J11" s="597"/>
      <c r="K11" s="597"/>
      <c r="L11" s="597"/>
      <c r="M11" s="597"/>
      <c r="N11" s="597"/>
      <c r="O11" s="597"/>
      <c r="P11" s="597"/>
      <c r="Q11" s="597"/>
      <c r="R11" s="597"/>
      <c r="S11" s="597"/>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
      <c r="A12" s="610"/>
      <c r="B12" s="618"/>
      <c r="C12" s="656"/>
      <c r="D12" s="618"/>
      <c r="E12" s="637"/>
      <c r="F12" s="597"/>
      <c r="G12" s="597"/>
      <c r="H12" s="597"/>
      <c r="I12" s="597"/>
      <c r="J12" s="597"/>
      <c r="K12" s="597"/>
      <c r="L12" s="597"/>
      <c r="M12" s="597"/>
      <c r="N12" s="597"/>
      <c r="O12" s="597"/>
      <c r="P12" s="597"/>
      <c r="Q12" s="597"/>
      <c r="R12" s="597"/>
      <c r="S12" s="597"/>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
      <c r="A13" s="610"/>
      <c r="B13" s="618"/>
      <c r="C13" s="618"/>
      <c r="D13" s="618"/>
      <c r="E13" s="613"/>
      <c r="F13" s="597"/>
      <c r="G13" s="597"/>
      <c r="H13" s="597"/>
      <c r="I13" s="597"/>
      <c r="J13" s="597"/>
      <c r="K13" s="597"/>
      <c r="L13" s="597"/>
      <c r="M13" s="597"/>
      <c r="N13" s="597"/>
      <c r="O13" s="597"/>
      <c r="P13" s="597"/>
      <c r="Q13" s="597"/>
      <c r="R13" s="597"/>
      <c r="S13" s="597"/>
      <c r="T13" s="597"/>
      <c r="U13" s="597"/>
      <c r="V13" s="597"/>
      <c r="W13" s="597"/>
      <c r="X13" s="597"/>
      <c r="Y13" s="597"/>
      <c r="Z13" s="597"/>
      <c r="AA13" s="597"/>
      <c r="AB13" s="597"/>
      <c r="AC13" s="597"/>
      <c r="AD13" s="564">
        <f>SUM(E13:AC13)</f>
        <v>0</v>
      </c>
      <c r="AE13" s="643"/>
      <c r="AF13" s="644"/>
    </row>
    <row r="14" spans="1:75" s="355" customFormat="1" x14ac:dyDescent="0.2">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
      <c r="A15" s="579" t="s">
        <v>206</v>
      </c>
      <c r="B15" s="642"/>
      <c r="C15" s="577"/>
      <c r="D15" s="642"/>
      <c r="E15" s="362"/>
      <c r="F15" s="623"/>
      <c r="G15" s="623"/>
      <c r="H15" s="623"/>
      <c r="I15" s="623"/>
      <c r="J15" s="623"/>
      <c r="K15" s="623"/>
      <c r="L15" s="623"/>
      <c r="M15" s="623"/>
      <c r="N15" s="623"/>
      <c r="O15" s="623"/>
      <c r="P15" s="623"/>
      <c r="Q15" s="623"/>
      <c r="R15" s="623"/>
      <c r="S15" s="623"/>
      <c r="T15" s="623"/>
      <c r="U15" s="623"/>
      <c r="V15" s="623"/>
      <c r="W15" s="623"/>
      <c r="X15" s="623"/>
      <c r="Y15" s="623"/>
      <c r="Z15" s="623"/>
      <c r="AA15" s="623"/>
      <c r="AB15" s="623"/>
      <c r="AC15" s="623"/>
      <c r="AD15" s="642"/>
      <c r="AE15" s="645"/>
      <c r="AF15" s="645"/>
    </row>
    <row r="16" spans="1:75" s="355" customFormat="1" ht="15" x14ac:dyDescent="0.25">
      <c r="A16" s="688" t="s">
        <v>359</v>
      </c>
      <c r="B16" s="642"/>
      <c r="C16" s="577"/>
      <c r="D16" s="642"/>
      <c r="E16" s="362"/>
      <c r="F16" s="623"/>
      <c r="G16" s="623"/>
      <c r="H16" s="623"/>
      <c r="I16" s="623"/>
      <c r="J16" s="623"/>
      <c r="K16" s="623"/>
      <c r="L16" s="623"/>
      <c r="M16" s="623"/>
      <c r="N16" s="623"/>
      <c r="O16" s="623"/>
      <c r="P16" s="623"/>
      <c r="Q16" s="623"/>
      <c r="R16" s="623"/>
      <c r="S16" s="623"/>
      <c r="T16" s="623"/>
      <c r="U16" s="623"/>
      <c r="V16" s="623"/>
      <c r="W16" s="623"/>
      <c r="X16" s="623"/>
      <c r="Y16" s="623"/>
      <c r="Z16" s="623"/>
      <c r="AA16" s="623"/>
      <c r="AB16" s="623"/>
      <c r="AC16" s="623"/>
      <c r="AD16" s="642"/>
      <c r="AE16" s="645"/>
      <c r="AF16" s="645"/>
    </row>
    <row r="17" spans="1:32" s="355" customFormat="1" hidden="1" x14ac:dyDescent="0.2">
      <c r="A17" s="580" t="s">
        <v>267</v>
      </c>
      <c r="B17" s="470" t="s">
        <v>240</v>
      </c>
      <c r="C17" s="470" t="s">
        <v>151</v>
      </c>
      <c r="D17" s="471">
        <f>F100</f>
        <v>0</v>
      </c>
      <c r="E17" s="471"/>
      <c r="F17" s="474">
        <v>0</v>
      </c>
      <c r="G17" s="624"/>
      <c r="H17" s="474"/>
      <c r="I17" s="720">
        <f>K100</f>
        <v>0</v>
      </c>
      <c r="J17" s="474"/>
      <c r="K17" s="474"/>
      <c r="L17" s="474"/>
      <c r="M17" s="474"/>
      <c r="N17" s="474"/>
      <c r="O17" s="474"/>
      <c r="P17" s="474"/>
      <c r="Q17" s="474"/>
      <c r="R17" s="474"/>
      <c r="S17" s="474"/>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
      <c r="A18" s="580" t="s">
        <v>267</v>
      </c>
      <c r="B18" s="470" t="s">
        <v>240</v>
      </c>
      <c r="C18" s="470" t="s">
        <v>151</v>
      </c>
      <c r="D18" s="471">
        <f>F101</f>
        <v>0</v>
      </c>
      <c r="E18" s="471"/>
      <c r="F18" s="474"/>
      <c r="G18" s="474"/>
      <c r="H18" s="474"/>
      <c r="I18" s="720">
        <f>K101</f>
        <v>0</v>
      </c>
      <c r="J18" s="474"/>
      <c r="K18" s="474"/>
      <c r="L18" s="474"/>
      <c r="M18" s="474"/>
      <c r="N18" s="474"/>
      <c r="O18" s="474"/>
      <c r="P18" s="474"/>
      <c r="Q18" s="474"/>
      <c r="R18" s="474"/>
      <c r="S18" s="474"/>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
      <c r="A19" s="580" t="s">
        <v>267</v>
      </c>
      <c r="B19" s="470" t="s">
        <v>240</v>
      </c>
      <c r="C19" s="470" t="s">
        <v>151</v>
      </c>
      <c r="D19" s="471">
        <f>F102</f>
        <v>0</v>
      </c>
      <c r="E19" s="471"/>
      <c r="F19" s="474"/>
      <c r="G19" s="624"/>
      <c r="H19" s="474"/>
      <c r="I19" s="720">
        <f>K102</f>
        <v>0</v>
      </c>
      <c r="J19" s="474"/>
      <c r="K19" s="474"/>
      <c r="L19" s="474"/>
      <c r="M19" s="474"/>
      <c r="N19" s="474"/>
      <c r="O19" s="474"/>
      <c r="P19" s="474"/>
      <c r="Q19" s="474"/>
      <c r="R19" s="474"/>
      <c r="S19" s="474"/>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
      <c r="A20" s="580" t="s">
        <v>267</v>
      </c>
      <c r="B20" s="470" t="s">
        <v>240</v>
      </c>
      <c r="C20" s="470" t="s">
        <v>151</v>
      </c>
      <c r="D20" s="471">
        <f>F103</f>
        <v>0</v>
      </c>
      <c r="E20" s="471"/>
      <c r="F20" s="474"/>
      <c r="G20" s="624"/>
      <c r="H20" s="474"/>
      <c r="I20" s="720">
        <f>K103</f>
        <v>0</v>
      </c>
      <c r="J20" s="474"/>
      <c r="K20" s="474"/>
      <c r="L20" s="474"/>
      <c r="M20" s="474"/>
      <c r="N20" s="474"/>
      <c r="O20" s="474"/>
      <c r="P20" s="474"/>
      <c r="Q20" s="474"/>
      <c r="R20" s="474"/>
      <c r="S20" s="474"/>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
      <c r="A21" s="580" t="s">
        <v>267</v>
      </c>
      <c r="B21" s="470" t="s">
        <v>240</v>
      </c>
      <c r="C21" s="470" t="s">
        <v>151</v>
      </c>
      <c r="D21" s="471">
        <f t="shared" ref="D21:D40" si="3">F104</f>
        <v>0</v>
      </c>
      <c r="E21" s="471"/>
      <c r="F21" s="474"/>
      <c r="G21" s="624"/>
      <c r="H21" s="474"/>
      <c r="I21" s="720">
        <f t="shared" ref="I21:I40" si="4">K104</f>
        <v>0</v>
      </c>
      <c r="J21" s="474"/>
      <c r="K21" s="474"/>
      <c r="L21" s="474"/>
      <c r="M21" s="474"/>
      <c r="N21" s="474"/>
      <c r="O21" s="474"/>
      <c r="P21" s="474"/>
      <c r="Q21" s="474"/>
      <c r="R21" s="474"/>
      <c r="S21" s="474"/>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
      <c r="A22" s="580" t="s">
        <v>267</v>
      </c>
      <c r="B22" s="470" t="s">
        <v>240</v>
      </c>
      <c r="C22" s="470" t="s">
        <v>151</v>
      </c>
      <c r="D22" s="471">
        <f t="shared" si="3"/>
        <v>0</v>
      </c>
      <c r="E22" s="471"/>
      <c r="F22" s="474"/>
      <c r="G22" s="624"/>
      <c r="H22" s="474"/>
      <c r="I22" s="720">
        <f t="shared" si="4"/>
        <v>0</v>
      </c>
      <c r="J22" s="474"/>
      <c r="K22" s="474"/>
      <c r="L22" s="474"/>
      <c r="M22" s="474"/>
      <c r="N22" s="474"/>
      <c r="O22" s="474"/>
      <c r="P22" s="474"/>
      <c r="Q22" s="474"/>
      <c r="R22" s="474"/>
      <c r="S22" s="474"/>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
      <c r="A23" s="580" t="s">
        <v>267</v>
      </c>
      <c r="B23" s="470" t="s">
        <v>240</v>
      </c>
      <c r="C23" s="470" t="s">
        <v>151</v>
      </c>
      <c r="D23" s="471">
        <f t="shared" si="3"/>
        <v>0</v>
      </c>
      <c r="E23" s="471"/>
      <c r="F23" s="474"/>
      <c r="G23" s="624"/>
      <c r="H23" s="474"/>
      <c r="I23" s="720">
        <f t="shared" si="4"/>
        <v>0</v>
      </c>
      <c r="J23" s="474"/>
      <c r="K23" s="474"/>
      <c r="L23" s="474"/>
      <c r="M23" s="474"/>
      <c r="N23" s="474"/>
      <c r="O23" s="474"/>
      <c r="P23" s="474"/>
      <c r="Q23" s="474"/>
      <c r="R23" s="474"/>
      <c r="S23" s="474"/>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
      <c r="A24" s="580" t="s">
        <v>267</v>
      </c>
      <c r="B24" s="470" t="s">
        <v>240</v>
      </c>
      <c r="C24" s="470" t="s">
        <v>151</v>
      </c>
      <c r="D24" s="471">
        <f t="shared" si="3"/>
        <v>0</v>
      </c>
      <c r="E24" s="471"/>
      <c r="F24" s="474"/>
      <c r="G24" s="624"/>
      <c r="H24" s="474"/>
      <c r="I24" s="720">
        <f t="shared" si="4"/>
        <v>0</v>
      </c>
      <c r="J24" s="474"/>
      <c r="K24" s="474"/>
      <c r="L24" s="474"/>
      <c r="M24" s="474"/>
      <c r="N24" s="474"/>
      <c r="O24" s="474"/>
      <c r="P24" s="474"/>
      <c r="Q24" s="474"/>
      <c r="R24" s="474"/>
      <c r="S24" s="474"/>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
      <c r="A25" s="580" t="s">
        <v>267</v>
      </c>
      <c r="B25" s="470" t="s">
        <v>240</v>
      </c>
      <c r="C25" s="470" t="s">
        <v>151</v>
      </c>
      <c r="D25" s="471">
        <f t="shared" si="3"/>
        <v>0</v>
      </c>
      <c r="E25" s="471"/>
      <c r="F25" s="474"/>
      <c r="G25" s="624"/>
      <c r="H25" s="474"/>
      <c r="I25" s="720">
        <f t="shared" si="4"/>
        <v>0</v>
      </c>
      <c r="J25" s="474"/>
      <c r="K25" s="474"/>
      <c r="L25" s="474"/>
      <c r="M25" s="474"/>
      <c r="N25" s="474"/>
      <c r="O25" s="474"/>
      <c r="P25" s="474"/>
      <c r="Q25" s="474"/>
      <c r="R25" s="474"/>
      <c r="S25" s="474"/>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
      <c r="A26" s="580" t="s">
        <v>267</v>
      </c>
      <c r="B26" s="470" t="s">
        <v>240</v>
      </c>
      <c r="C26" s="470" t="s">
        <v>151</v>
      </c>
      <c r="D26" s="471">
        <f t="shared" si="3"/>
        <v>0</v>
      </c>
      <c r="E26" s="471"/>
      <c r="F26" s="474"/>
      <c r="G26" s="624"/>
      <c r="H26" s="474"/>
      <c r="I26" s="720">
        <f t="shared" si="4"/>
        <v>0</v>
      </c>
      <c r="J26" s="474"/>
      <c r="K26" s="474"/>
      <c r="L26" s="474"/>
      <c r="M26" s="474"/>
      <c r="N26" s="474"/>
      <c r="O26" s="474"/>
      <c r="P26" s="474"/>
      <c r="Q26" s="474"/>
      <c r="R26" s="474"/>
      <c r="S26" s="474"/>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
      <c r="A27" s="580" t="s">
        <v>267</v>
      </c>
      <c r="B27" s="470" t="s">
        <v>240</v>
      </c>
      <c r="C27" s="470" t="s">
        <v>151</v>
      </c>
      <c r="D27" s="471">
        <f t="shared" si="3"/>
        <v>0</v>
      </c>
      <c r="E27" s="471"/>
      <c r="F27" s="474"/>
      <c r="G27" s="624"/>
      <c r="H27" s="474"/>
      <c r="I27" s="720">
        <f t="shared" si="4"/>
        <v>0</v>
      </c>
      <c r="J27" s="474"/>
      <c r="K27" s="474"/>
      <c r="L27" s="474"/>
      <c r="M27" s="474"/>
      <c r="N27" s="474"/>
      <c r="O27" s="474"/>
      <c r="P27" s="474"/>
      <c r="Q27" s="474"/>
      <c r="R27" s="474"/>
      <c r="S27" s="474"/>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
      <c r="A28" s="580" t="s">
        <v>267</v>
      </c>
      <c r="B28" s="470" t="s">
        <v>240</v>
      </c>
      <c r="C28" s="470" t="s">
        <v>151</v>
      </c>
      <c r="D28" s="471">
        <f t="shared" si="3"/>
        <v>0</v>
      </c>
      <c r="E28" s="471"/>
      <c r="F28" s="474"/>
      <c r="G28" s="624"/>
      <c r="H28" s="474"/>
      <c r="I28" s="720">
        <f t="shared" si="4"/>
        <v>0</v>
      </c>
      <c r="J28" s="474"/>
      <c r="K28" s="474"/>
      <c r="L28" s="474"/>
      <c r="M28" s="474"/>
      <c r="N28" s="474"/>
      <c r="O28" s="474"/>
      <c r="P28" s="474"/>
      <c r="Q28" s="474"/>
      <c r="R28" s="474"/>
      <c r="S28" s="474"/>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
      <c r="A29" s="580" t="s">
        <v>267</v>
      </c>
      <c r="B29" s="470" t="s">
        <v>240</v>
      </c>
      <c r="C29" s="470" t="s">
        <v>151</v>
      </c>
      <c r="D29" s="471">
        <f t="shared" si="3"/>
        <v>0</v>
      </c>
      <c r="E29" s="471"/>
      <c r="F29" s="474"/>
      <c r="G29" s="624"/>
      <c r="H29" s="474"/>
      <c r="I29" s="720">
        <f t="shared" si="4"/>
        <v>0</v>
      </c>
      <c r="J29" s="474"/>
      <c r="K29" s="474"/>
      <c r="L29" s="474"/>
      <c r="M29" s="474"/>
      <c r="N29" s="474"/>
      <c r="O29" s="474"/>
      <c r="P29" s="474"/>
      <c r="Q29" s="474"/>
      <c r="R29" s="474"/>
      <c r="S29" s="474"/>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
      <c r="A30" s="580" t="s">
        <v>267</v>
      </c>
      <c r="B30" s="470" t="s">
        <v>240</v>
      </c>
      <c r="C30" s="470" t="s">
        <v>151</v>
      </c>
      <c r="D30" s="471">
        <f t="shared" si="3"/>
        <v>0</v>
      </c>
      <c r="E30" s="471"/>
      <c r="F30" s="474"/>
      <c r="G30" s="624"/>
      <c r="H30" s="474"/>
      <c r="I30" s="720">
        <f t="shared" si="4"/>
        <v>0</v>
      </c>
      <c r="J30" s="474"/>
      <c r="K30" s="474"/>
      <c r="L30" s="474"/>
      <c r="M30" s="474"/>
      <c r="N30" s="474"/>
      <c r="O30" s="474"/>
      <c r="P30" s="474"/>
      <c r="Q30" s="474"/>
      <c r="R30" s="474"/>
      <c r="S30" s="474"/>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
      <c r="A31" s="580" t="s">
        <v>267</v>
      </c>
      <c r="B31" s="470" t="s">
        <v>240</v>
      </c>
      <c r="C31" s="470" t="s">
        <v>151</v>
      </c>
      <c r="D31" s="471">
        <f t="shared" si="3"/>
        <v>0</v>
      </c>
      <c r="E31" s="471"/>
      <c r="F31" s="474"/>
      <c r="G31" s="624"/>
      <c r="H31" s="474"/>
      <c r="I31" s="720">
        <f t="shared" si="4"/>
        <v>0</v>
      </c>
      <c r="J31" s="474"/>
      <c r="K31" s="474"/>
      <c r="L31" s="474"/>
      <c r="M31" s="474"/>
      <c r="N31" s="474"/>
      <c r="O31" s="474"/>
      <c r="P31" s="474"/>
      <c r="Q31" s="474"/>
      <c r="R31" s="474"/>
      <c r="S31" s="474"/>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
      <c r="A32" s="580" t="s">
        <v>267</v>
      </c>
      <c r="B32" s="470" t="s">
        <v>240</v>
      </c>
      <c r="C32" s="470" t="s">
        <v>151</v>
      </c>
      <c r="D32" s="471">
        <f t="shared" si="3"/>
        <v>0</v>
      </c>
      <c r="E32" s="471"/>
      <c r="F32" s="474"/>
      <c r="G32" s="624"/>
      <c r="H32" s="474"/>
      <c r="I32" s="720">
        <f t="shared" si="4"/>
        <v>0</v>
      </c>
      <c r="J32" s="474"/>
      <c r="K32" s="474"/>
      <c r="L32" s="474"/>
      <c r="M32" s="474"/>
      <c r="N32" s="474"/>
      <c r="O32" s="474"/>
      <c r="P32" s="474"/>
      <c r="Q32" s="474"/>
      <c r="R32" s="474"/>
      <c r="S32" s="474"/>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
      <c r="A33" s="580" t="s">
        <v>267</v>
      </c>
      <c r="B33" s="470" t="s">
        <v>240</v>
      </c>
      <c r="C33" s="470" t="s">
        <v>151</v>
      </c>
      <c r="D33" s="471">
        <f t="shared" si="3"/>
        <v>0</v>
      </c>
      <c r="E33" s="471"/>
      <c r="F33" s="474"/>
      <c r="G33" s="624"/>
      <c r="H33" s="474"/>
      <c r="I33" s="720">
        <f t="shared" si="4"/>
        <v>0</v>
      </c>
      <c r="J33" s="474"/>
      <c r="K33" s="474"/>
      <c r="L33" s="474"/>
      <c r="M33" s="474"/>
      <c r="N33" s="474"/>
      <c r="O33" s="474"/>
      <c r="P33" s="474"/>
      <c r="Q33" s="474"/>
      <c r="R33" s="474"/>
      <c r="S33" s="474"/>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
      <c r="A34" s="580" t="s">
        <v>267</v>
      </c>
      <c r="B34" s="470" t="s">
        <v>240</v>
      </c>
      <c r="C34" s="470" t="s">
        <v>151</v>
      </c>
      <c r="D34" s="471">
        <f t="shared" si="3"/>
        <v>0</v>
      </c>
      <c r="E34" s="471"/>
      <c r="F34" s="474"/>
      <c r="G34" s="624"/>
      <c r="H34" s="474"/>
      <c r="I34" s="720">
        <f t="shared" si="4"/>
        <v>0</v>
      </c>
      <c r="J34" s="474"/>
      <c r="K34" s="474"/>
      <c r="L34" s="474"/>
      <c r="M34" s="474"/>
      <c r="N34" s="474"/>
      <c r="O34" s="474"/>
      <c r="P34" s="474"/>
      <c r="Q34" s="474"/>
      <c r="R34" s="474"/>
      <c r="S34" s="474"/>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
      <c r="A35" s="580" t="s">
        <v>267</v>
      </c>
      <c r="B35" s="470" t="s">
        <v>240</v>
      </c>
      <c r="C35" s="470" t="s">
        <v>151</v>
      </c>
      <c r="D35" s="471">
        <f t="shared" si="3"/>
        <v>0</v>
      </c>
      <c r="E35" s="471"/>
      <c r="F35" s="474"/>
      <c r="G35" s="624"/>
      <c r="H35" s="474"/>
      <c r="I35" s="720">
        <f t="shared" si="4"/>
        <v>0</v>
      </c>
      <c r="J35" s="474"/>
      <c r="K35" s="474"/>
      <c r="L35" s="474"/>
      <c r="M35" s="474"/>
      <c r="N35" s="474"/>
      <c r="O35" s="474"/>
      <c r="P35" s="474"/>
      <c r="Q35" s="474"/>
      <c r="R35" s="474"/>
      <c r="S35" s="474"/>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
      <c r="A36" s="580" t="s">
        <v>267</v>
      </c>
      <c r="B36" s="470" t="s">
        <v>240</v>
      </c>
      <c r="C36" s="470" t="s">
        <v>151</v>
      </c>
      <c r="D36" s="471">
        <f t="shared" si="3"/>
        <v>0</v>
      </c>
      <c r="E36" s="471"/>
      <c r="F36" s="474"/>
      <c r="G36" s="624"/>
      <c r="H36" s="474"/>
      <c r="I36" s="720">
        <f t="shared" si="4"/>
        <v>0</v>
      </c>
      <c r="J36" s="474"/>
      <c r="K36" s="474"/>
      <c r="L36" s="474"/>
      <c r="M36" s="474"/>
      <c r="N36" s="474"/>
      <c r="O36" s="474"/>
      <c r="P36" s="474"/>
      <c r="Q36" s="474"/>
      <c r="R36" s="474"/>
      <c r="S36" s="474"/>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
      <c r="A37" s="580" t="s">
        <v>267</v>
      </c>
      <c r="B37" s="470" t="s">
        <v>240</v>
      </c>
      <c r="C37" s="470" t="s">
        <v>151</v>
      </c>
      <c r="D37" s="471">
        <f t="shared" si="3"/>
        <v>0</v>
      </c>
      <c r="E37" s="471"/>
      <c r="F37" s="474"/>
      <c r="G37" s="624"/>
      <c r="H37" s="474"/>
      <c r="I37" s="720">
        <f t="shared" si="4"/>
        <v>0</v>
      </c>
      <c r="J37" s="474"/>
      <c r="K37" s="474"/>
      <c r="L37" s="474"/>
      <c r="M37" s="474"/>
      <c r="N37" s="474"/>
      <c r="O37" s="474"/>
      <c r="P37" s="474"/>
      <c r="Q37" s="474"/>
      <c r="R37" s="474"/>
      <c r="S37" s="474"/>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
      <c r="A38" s="580" t="s">
        <v>267</v>
      </c>
      <c r="B38" s="470" t="s">
        <v>240</v>
      </c>
      <c r="C38" s="470" t="s">
        <v>151</v>
      </c>
      <c r="D38" s="471">
        <f t="shared" si="3"/>
        <v>0</v>
      </c>
      <c r="E38" s="471"/>
      <c r="F38" s="474"/>
      <c r="G38" s="624"/>
      <c r="H38" s="474"/>
      <c r="I38" s="720">
        <f t="shared" si="4"/>
        <v>0</v>
      </c>
      <c r="J38" s="474"/>
      <c r="K38" s="474"/>
      <c r="L38" s="474"/>
      <c r="M38" s="474"/>
      <c r="N38" s="474"/>
      <c r="O38" s="474"/>
      <c r="P38" s="474"/>
      <c r="Q38" s="474"/>
      <c r="R38" s="474"/>
      <c r="S38" s="474"/>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
      <c r="A39" s="580" t="s">
        <v>267</v>
      </c>
      <c r="B39" s="470" t="s">
        <v>240</v>
      </c>
      <c r="C39" s="470" t="s">
        <v>151</v>
      </c>
      <c r="D39" s="471">
        <f t="shared" si="3"/>
        <v>0</v>
      </c>
      <c r="E39" s="471"/>
      <c r="F39" s="474"/>
      <c r="G39" s="624"/>
      <c r="H39" s="474"/>
      <c r="I39" s="720">
        <f t="shared" si="4"/>
        <v>0</v>
      </c>
      <c r="J39" s="474"/>
      <c r="K39" s="474"/>
      <c r="L39" s="474"/>
      <c r="M39" s="474"/>
      <c r="N39" s="474"/>
      <c r="O39" s="474"/>
      <c r="P39" s="474"/>
      <c r="Q39" s="474"/>
      <c r="R39" s="474"/>
      <c r="S39" s="474"/>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
      <c r="A40" s="580" t="s">
        <v>267</v>
      </c>
      <c r="B40" s="470" t="s">
        <v>240</v>
      </c>
      <c r="C40" s="470" t="s">
        <v>151</v>
      </c>
      <c r="D40" s="471">
        <f t="shared" si="3"/>
        <v>0</v>
      </c>
      <c r="E40" s="471"/>
      <c r="F40" s="474"/>
      <c r="G40" s="624"/>
      <c r="H40" s="474"/>
      <c r="I40" s="720">
        <f t="shared" si="4"/>
        <v>0</v>
      </c>
      <c r="J40" s="474"/>
      <c r="K40" s="474"/>
      <c r="L40" s="474"/>
      <c r="M40" s="474"/>
      <c r="N40" s="474"/>
      <c r="O40" s="474"/>
      <c r="P40" s="474"/>
      <c r="Q40" s="474"/>
      <c r="R40" s="474"/>
      <c r="S40" s="474"/>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
      <c r="A41" s="580"/>
      <c r="B41" s="470"/>
      <c r="C41" s="470"/>
      <c r="D41" s="471"/>
      <c r="E41" s="471"/>
      <c r="F41" s="474"/>
      <c r="G41" s="624"/>
      <c r="H41" s="474"/>
      <c r="I41" s="720"/>
      <c r="J41" s="474"/>
      <c r="K41" s="474"/>
      <c r="L41" s="474"/>
      <c r="M41" s="474"/>
      <c r="N41" s="474"/>
      <c r="O41" s="474"/>
      <c r="P41" s="474"/>
      <c r="Q41" s="474"/>
      <c r="R41" s="474"/>
      <c r="S41" s="474"/>
      <c r="T41" s="474"/>
      <c r="U41" s="474"/>
      <c r="V41" s="474"/>
      <c r="W41" s="474"/>
      <c r="X41" s="474"/>
      <c r="Y41" s="474"/>
      <c r="Z41" s="474"/>
      <c r="AA41" s="474"/>
      <c r="AB41" s="474"/>
      <c r="AC41" s="474"/>
      <c r="AD41" s="561">
        <f t="shared" si="0"/>
        <v>0</v>
      </c>
      <c r="AE41" s="646">
        <f t="shared" si="1"/>
        <v>0</v>
      </c>
      <c r="AF41" s="647"/>
    </row>
    <row r="42" spans="1:32" s="355" customFormat="1" hidden="1" x14ac:dyDescent="0.2">
      <c r="A42" s="580" t="s">
        <v>267</v>
      </c>
      <c r="B42" s="470" t="s">
        <v>240</v>
      </c>
      <c r="C42" s="470" t="s">
        <v>268</v>
      </c>
      <c r="D42" s="471">
        <f t="shared" ref="D42:D64" si="5">F130</f>
        <v>0</v>
      </c>
      <c r="E42" s="471"/>
      <c r="F42" s="474">
        <v>0</v>
      </c>
      <c r="G42" s="474"/>
      <c r="H42" s="474"/>
      <c r="I42" s="720">
        <f t="shared" ref="I42:I64" si="6">K130</f>
        <v>0</v>
      </c>
      <c r="J42" s="474"/>
      <c r="K42" s="474"/>
      <c r="L42" s="474"/>
      <c r="M42" s="474"/>
      <c r="N42" s="474"/>
      <c r="O42" s="474"/>
      <c r="P42" s="474"/>
      <c r="Q42" s="474"/>
      <c r="R42" s="474"/>
      <c r="S42" s="474"/>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
      <c r="A43" s="580" t="s">
        <v>267</v>
      </c>
      <c r="B43" s="470" t="s">
        <v>240</v>
      </c>
      <c r="C43" s="470" t="s">
        <v>268</v>
      </c>
      <c r="D43" s="471">
        <f t="shared" si="5"/>
        <v>0</v>
      </c>
      <c r="E43" s="471"/>
      <c r="F43" s="474"/>
      <c r="G43" s="474"/>
      <c r="H43" s="474"/>
      <c r="I43" s="720">
        <f t="shared" si="6"/>
        <v>0</v>
      </c>
      <c r="J43" s="474"/>
      <c r="K43" s="474"/>
      <c r="L43" s="474"/>
      <c r="M43" s="474"/>
      <c r="N43" s="474"/>
      <c r="O43" s="474"/>
      <c r="P43" s="474"/>
      <c r="Q43" s="474"/>
      <c r="R43" s="474"/>
      <c r="S43" s="474"/>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
      <c r="A44" s="580" t="s">
        <v>267</v>
      </c>
      <c r="B44" s="470" t="s">
        <v>240</v>
      </c>
      <c r="C44" s="470" t="s">
        <v>268</v>
      </c>
      <c r="D44" s="471">
        <f t="shared" si="5"/>
        <v>0</v>
      </c>
      <c r="E44" s="471"/>
      <c r="F44" s="474"/>
      <c r="G44" s="474"/>
      <c r="H44" s="474"/>
      <c r="I44" s="720">
        <f t="shared" si="6"/>
        <v>0</v>
      </c>
      <c r="J44" s="474"/>
      <c r="K44" s="474"/>
      <c r="L44" s="474"/>
      <c r="M44" s="474"/>
      <c r="N44" s="474"/>
      <c r="O44" s="474"/>
      <c r="P44" s="474"/>
      <c r="Q44" s="474"/>
      <c r="R44" s="474"/>
      <c r="S44" s="474"/>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
      <c r="A45" s="580" t="s">
        <v>267</v>
      </c>
      <c r="B45" s="470" t="s">
        <v>240</v>
      </c>
      <c r="C45" s="470" t="s">
        <v>268</v>
      </c>
      <c r="D45" s="471">
        <f t="shared" si="5"/>
        <v>0</v>
      </c>
      <c r="E45" s="471"/>
      <c r="F45" s="474"/>
      <c r="G45" s="474"/>
      <c r="H45" s="474"/>
      <c r="I45" s="720">
        <f t="shared" si="6"/>
        <v>0</v>
      </c>
      <c r="J45" s="474"/>
      <c r="K45" s="474"/>
      <c r="L45" s="474"/>
      <c r="M45" s="474"/>
      <c r="N45" s="474"/>
      <c r="O45" s="474"/>
      <c r="P45" s="474"/>
      <c r="Q45" s="474"/>
      <c r="R45" s="474"/>
      <c r="S45" s="474"/>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
      <c r="A46" s="580" t="s">
        <v>267</v>
      </c>
      <c r="B46" s="470" t="s">
        <v>240</v>
      </c>
      <c r="C46" s="470" t="s">
        <v>268</v>
      </c>
      <c r="D46" s="471">
        <f t="shared" si="5"/>
        <v>0</v>
      </c>
      <c r="E46" s="471"/>
      <c r="F46" s="474"/>
      <c r="G46" s="474"/>
      <c r="H46" s="474"/>
      <c r="I46" s="720">
        <f t="shared" si="6"/>
        <v>0</v>
      </c>
      <c r="J46" s="474"/>
      <c r="K46" s="474"/>
      <c r="L46" s="474"/>
      <c r="M46" s="474"/>
      <c r="N46" s="474"/>
      <c r="O46" s="474"/>
      <c r="P46" s="474"/>
      <c r="Q46" s="474"/>
      <c r="R46" s="474"/>
      <c r="S46" s="474"/>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
      <c r="A47" s="580" t="s">
        <v>267</v>
      </c>
      <c r="B47" s="470" t="s">
        <v>240</v>
      </c>
      <c r="C47" s="470" t="s">
        <v>268</v>
      </c>
      <c r="D47" s="471">
        <f t="shared" si="5"/>
        <v>0</v>
      </c>
      <c r="E47" s="471"/>
      <c r="F47" s="474"/>
      <c r="G47" s="474"/>
      <c r="H47" s="474"/>
      <c r="I47" s="720">
        <f t="shared" si="6"/>
        <v>0</v>
      </c>
      <c r="J47" s="474"/>
      <c r="K47" s="474"/>
      <c r="L47" s="474"/>
      <c r="M47" s="474"/>
      <c r="N47" s="474"/>
      <c r="O47" s="474"/>
      <c r="P47" s="474"/>
      <c r="Q47" s="474"/>
      <c r="R47" s="474"/>
      <c r="S47" s="474"/>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
      <c r="A48" s="580" t="s">
        <v>267</v>
      </c>
      <c r="B48" s="470" t="s">
        <v>240</v>
      </c>
      <c r="C48" s="470" t="s">
        <v>268</v>
      </c>
      <c r="D48" s="471">
        <f t="shared" si="5"/>
        <v>0</v>
      </c>
      <c r="E48" s="471"/>
      <c r="F48" s="474"/>
      <c r="G48" s="474"/>
      <c r="H48" s="474"/>
      <c r="I48" s="720">
        <f t="shared" si="6"/>
        <v>0</v>
      </c>
      <c r="J48" s="474"/>
      <c r="K48" s="474"/>
      <c r="L48" s="474"/>
      <c r="M48" s="474"/>
      <c r="N48" s="474"/>
      <c r="O48" s="474"/>
      <c r="P48" s="474"/>
      <c r="Q48" s="474"/>
      <c r="R48" s="474"/>
      <c r="S48" s="474"/>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
      <c r="A49" s="580" t="s">
        <v>267</v>
      </c>
      <c r="B49" s="470" t="s">
        <v>240</v>
      </c>
      <c r="C49" s="470" t="s">
        <v>268</v>
      </c>
      <c r="D49" s="471">
        <f t="shared" si="5"/>
        <v>0</v>
      </c>
      <c r="E49" s="471"/>
      <c r="F49" s="474"/>
      <c r="G49" s="474"/>
      <c r="H49" s="474"/>
      <c r="I49" s="720">
        <f t="shared" si="6"/>
        <v>0</v>
      </c>
      <c r="J49" s="474"/>
      <c r="K49" s="474"/>
      <c r="L49" s="474"/>
      <c r="M49" s="474"/>
      <c r="N49" s="474"/>
      <c r="O49" s="474"/>
      <c r="P49" s="474"/>
      <c r="Q49" s="474"/>
      <c r="R49" s="474"/>
      <c r="S49" s="474"/>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
      <c r="A50" s="580" t="s">
        <v>267</v>
      </c>
      <c r="B50" s="470" t="s">
        <v>240</v>
      </c>
      <c r="C50" s="470" t="s">
        <v>268</v>
      </c>
      <c r="D50" s="471">
        <f t="shared" si="5"/>
        <v>0</v>
      </c>
      <c r="E50" s="471"/>
      <c r="F50" s="474"/>
      <c r="G50" s="474"/>
      <c r="H50" s="474"/>
      <c r="I50" s="720">
        <f t="shared" si="6"/>
        <v>0</v>
      </c>
      <c r="J50" s="474"/>
      <c r="K50" s="474"/>
      <c r="L50" s="474"/>
      <c r="M50" s="474"/>
      <c r="N50" s="474"/>
      <c r="O50" s="474"/>
      <c r="P50" s="474"/>
      <c r="Q50" s="474"/>
      <c r="R50" s="474"/>
      <c r="S50" s="474"/>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
      <c r="A51" s="580" t="s">
        <v>267</v>
      </c>
      <c r="B51" s="470" t="s">
        <v>240</v>
      </c>
      <c r="C51" s="470" t="s">
        <v>268</v>
      </c>
      <c r="D51" s="471">
        <f t="shared" si="5"/>
        <v>0</v>
      </c>
      <c r="E51" s="471"/>
      <c r="F51" s="474"/>
      <c r="G51" s="474"/>
      <c r="H51" s="474"/>
      <c r="I51" s="720">
        <f t="shared" si="6"/>
        <v>0</v>
      </c>
      <c r="J51" s="474"/>
      <c r="K51" s="474"/>
      <c r="L51" s="474"/>
      <c r="M51" s="474"/>
      <c r="N51" s="474"/>
      <c r="O51" s="474"/>
      <c r="P51" s="474"/>
      <c r="Q51" s="474"/>
      <c r="R51" s="474"/>
      <c r="S51" s="474"/>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
      <c r="A52" s="580" t="s">
        <v>267</v>
      </c>
      <c r="B52" s="470" t="s">
        <v>240</v>
      </c>
      <c r="C52" s="470" t="s">
        <v>268</v>
      </c>
      <c r="D52" s="471">
        <f t="shared" si="5"/>
        <v>0</v>
      </c>
      <c r="E52" s="471"/>
      <c r="F52" s="474"/>
      <c r="G52" s="474"/>
      <c r="H52" s="474"/>
      <c r="I52" s="720">
        <f t="shared" si="6"/>
        <v>0</v>
      </c>
      <c r="J52" s="474"/>
      <c r="K52" s="474"/>
      <c r="L52" s="474"/>
      <c r="M52" s="474"/>
      <c r="N52" s="474"/>
      <c r="O52" s="474"/>
      <c r="P52" s="474"/>
      <c r="Q52" s="474"/>
      <c r="R52" s="474"/>
      <c r="S52" s="474"/>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
      <c r="A53" s="580" t="s">
        <v>267</v>
      </c>
      <c r="B53" s="470" t="s">
        <v>240</v>
      </c>
      <c r="C53" s="470" t="s">
        <v>268</v>
      </c>
      <c r="D53" s="471">
        <f t="shared" si="5"/>
        <v>0</v>
      </c>
      <c r="E53" s="471"/>
      <c r="F53" s="474"/>
      <c r="G53" s="474"/>
      <c r="H53" s="474"/>
      <c r="I53" s="720">
        <f t="shared" si="6"/>
        <v>0</v>
      </c>
      <c r="J53" s="474"/>
      <c r="K53" s="474"/>
      <c r="L53" s="474"/>
      <c r="M53" s="474"/>
      <c r="N53" s="474"/>
      <c r="O53" s="474"/>
      <c r="P53" s="474"/>
      <c r="Q53" s="474"/>
      <c r="R53" s="474"/>
      <c r="S53" s="474"/>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
      <c r="A54" s="580" t="s">
        <v>267</v>
      </c>
      <c r="B54" s="470" t="s">
        <v>240</v>
      </c>
      <c r="C54" s="470" t="s">
        <v>268</v>
      </c>
      <c r="D54" s="471">
        <f t="shared" si="5"/>
        <v>0</v>
      </c>
      <c r="E54" s="471"/>
      <c r="F54" s="474"/>
      <c r="G54" s="474"/>
      <c r="H54" s="474"/>
      <c r="I54" s="720">
        <f t="shared" si="6"/>
        <v>0</v>
      </c>
      <c r="J54" s="474"/>
      <c r="K54" s="474"/>
      <c r="L54" s="474"/>
      <c r="M54" s="474"/>
      <c r="N54" s="474"/>
      <c r="O54" s="474"/>
      <c r="P54" s="474"/>
      <c r="Q54" s="474"/>
      <c r="R54" s="474"/>
      <c r="S54" s="474"/>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
      <c r="A55" s="580" t="s">
        <v>267</v>
      </c>
      <c r="B55" s="470" t="s">
        <v>240</v>
      </c>
      <c r="C55" s="470" t="s">
        <v>268</v>
      </c>
      <c r="D55" s="471">
        <f t="shared" si="5"/>
        <v>0</v>
      </c>
      <c r="E55" s="471"/>
      <c r="F55" s="474"/>
      <c r="G55" s="474"/>
      <c r="H55" s="474"/>
      <c r="I55" s="720">
        <f t="shared" si="6"/>
        <v>0</v>
      </c>
      <c r="J55" s="474"/>
      <c r="K55" s="474"/>
      <c r="L55" s="474"/>
      <c r="M55" s="474"/>
      <c r="N55" s="474"/>
      <c r="O55" s="474"/>
      <c r="P55" s="474"/>
      <c r="Q55" s="474"/>
      <c r="R55" s="474"/>
      <c r="S55" s="474"/>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
      <c r="A56" s="580" t="s">
        <v>267</v>
      </c>
      <c r="B56" s="470" t="s">
        <v>240</v>
      </c>
      <c r="C56" s="470" t="s">
        <v>268</v>
      </c>
      <c r="D56" s="471">
        <f t="shared" si="5"/>
        <v>0</v>
      </c>
      <c r="E56" s="471"/>
      <c r="F56" s="474"/>
      <c r="G56" s="474"/>
      <c r="H56" s="474"/>
      <c r="I56" s="720">
        <f t="shared" si="6"/>
        <v>0</v>
      </c>
      <c r="J56" s="474"/>
      <c r="K56" s="474"/>
      <c r="L56" s="474"/>
      <c r="M56" s="474"/>
      <c r="N56" s="474"/>
      <c r="O56" s="474"/>
      <c r="P56" s="474"/>
      <c r="Q56" s="474"/>
      <c r="R56" s="474"/>
      <c r="S56" s="474"/>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
      <c r="A57" s="580" t="s">
        <v>267</v>
      </c>
      <c r="B57" s="470" t="s">
        <v>240</v>
      </c>
      <c r="C57" s="470" t="s">
        <v>268</v>
      </c>
      <c r="D57" s="471">
        <f t="shared" si="5"/>
        <v>0</v>
      </c>
      <c r="E57" s="471"/>
      <c r="F57" s="474"/>
      <c r="G57" s="474"/>
      <c r="H57" s="474"/>
      <c r="I57" s="720">
        <f t="shared" si="6"/>
        <v>0</v>
      </c>
      <c r="J57" s="474"/>
      <c r="K57" s="474"/>
      <c r="L57" s="474"/>
      <c r="M57" s="474"/>
      <c r="N57" s="474"/>
      <c r="O57" s="474"/>
      <c r="P57" s="474"/>
      <c r="Q57" s="474"/>
      <c r="R57" s="474"/>
      <c r="S57" s="474"/>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
      <c r="A58" s="580" t="s">
        <v>267</v>
      </c>
      <c r="B58" s="470" t="s">
        <v>240</v>
      </c>
      <c r="C58" s="470" t="s">
        <v>268</v>
      </c>
      <c r="D58" s="471">
        <f t="shared" si="5"/>
        <v>0</v>
      </c>
      <c r="E58" s="471"/>
      <c r="F58" s="474"/>
      <c r="G58" s="474"/>
      <c r="H58" s="474"/>
      <c r="I58" s="720">
        <f t="shared" si="6"/>
        <v>0</v>
      </c>
      <c r="J58" s="474"/>
      <c r="K58" s="474"/>
      <c r="L58" s="474"/>
      <c r="M58" s="474"/>
      <c r="N58" s="474"/>
      <c r="O58" s="474"/>
      <c r="P58" s="474"/>
      <c r="Q58" s="474"/>
      <c r="R58" s="474"/>
      <c r="S58" s="474"/>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
      <c r="A59" s="580" t="s">
        <v>267</v>
      </c>
      <c r="B59" s="470" t="s">
        <v>240</v>
      </c>
      <c r="C59" s="470" t="s">
        <v>268</v>
      </c>
      <c r="D59" s="471">
        <f t="shared" si="5"/>
        <v>0</v>
      </c>
      <c r="E59" s="471"/>
      <c r="F59" s="474"/>
      <c r="G59" s="474"/>
      <c r="H59" s="474"/>
      <c r="I59" s="720">
        <f t="shared" si="6"/>
        <v>0</v>
      </c>
      <c r="J59" s="474"/>
      <c r="K59" s="474"/>
      <c r="L59" s="474"/>
      <c r="M59" s="474"/>
      <c r="N59" s="474"/>
      <c r="O59" s="474"/>
      <c r="P59" s="474"/>
      <c r="Q59" s="474"/>
      <c r="R59" s="474"/>
      <c r="S59" s="474"/>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
      <c r="A60" s="580" t="s">
        <v>267</v>
      </c>
      <c r="B60" s="470" t="s">
        <v>240</v>
      </c>
      <c r="C60" s="470" t="s">
        <v>268</v>
      </c>
      <c r="D60" s="471">
        <f t="shared" si="5"/>
        <v>0</v>
      </c>
      <c r="E60" s="471"/>
      <c r="F60" s="474"/>
      <c r="G60" s="474"/>
      <c r="H60" s="474"/>
      <c r="I60" s="720">
        <f t="shared" si="6"/>
        <v>0</v>
      </c>
      <c r="J60" s="474"/>
      <c r="K60" s="474"/>
      <c r="L60" s="474"/>
      <c r="M60" s="474"/>
      <c r="N60" s="474"/>
      <c r="O60" s="474"/>
      <c r="P60" s="474"/>
      <c r="Q60" s="474"/>
      <c r="R60" s="474"/>
      <c r="S60" s="474"/>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
      <c r="A61" s="580" t="s">
        <v>267</v>
      </c>
      <c r="B61" s="470" t="s">
        <v>240</v>
      </c>
      <c r="C61" s="470" t="s">
        <v>268</v>
      </c>
      <c r="D61" s="471">
        <f t="shared" si="5"/>
        <v>0</v>
      </c>
      <c r="E61" s="471"/>
      <c r="F61" s="474"/>
      <c r="G61" s="474"/>
      <c r="H61" s="474"/>
      <c r="I61" s="720">
        <f t="shared" si="6"/>
        <v>0</v>
      </c>
      <c r="J61" s="474"/>
      <c r="K61" s="474"/>
      <c r="L61" s="474"/>
      <c r="M61" s="474"/>
      <c r="N61" s="474"/>
      <c r="O61" s="474"/>
      <c r="P61" s="474"/>
      <c r="Q61" s="474"/>
      <c r="R61" s="474"/>
      <c r="S61" s="474"/>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
      <c r="A62" s="580" t="s">
        <v>267</v>
      </c>
      <c r="B62" s="470" t="s">
        <v>240</v>
      </c>
      <c r="C62" s="470" t="s">
        <v>268</v>
      </c>
      <c r="D62" s="471">
        <f t="shared" si="5"/>
        <v>0</v>
      </c>
      <c r="E62" s="471"/>
      <c r="F62" s="474"/>
      <c r="G62" s="474"/>
      <c r="H62" s="474"/>
      <c r="I62" s="720">
        <f t="shared" si="6"/>
        <v>0</v>
      </c>
      <c r="J62" s="474"/>
      <c r="K62" s="474"/>
      <c r="L62" s="474"/>
      <c r="M62" s="474"/>
      <c r="N62" s="474"/>
      <c r="O62" s="474"/>
      <c r="P62" s="474"/>
      <c r="Q62" s="474"/>
      <c r="R62" s="474"/>
      <c r="S62" s="474"/>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
      <c r="A63" s="580" t="s">
        <v>267</v>
      </c>
      <c r="B63" s="470" t="s">
        <v>240</v>
      </c>
      <c r="C63" s="470" t="s">
        <v>268</v>
      </c>
      <c r="D63" s="471">
        <f t="shared" si="5"/>
        <v>0</v>
      </c>
      <c r="E63" s="471"/>
      <c r="F63" s="474"/>
      <c r="G63" s="474"/>
      <c r="H63" s="474"/>
      <c r="I63" s="720">
        <f t="shared" si="6"/>
        <v>0</v>
      </c>
      <c r="J63" s="474"/>
      <c r="K63" s="474"/>
      <c r="L63" s="474"/>
      <c r="M63" s="474"/>
      <c r="N63" s="474"/>
      <c r="O63" s="474"/>
      <c r="P63" s="474"/>
      <c r="Q63" s="474"/>
      <c r="R63" s="474"/>
      <c r="S63" s="474"/>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
      <c r="A64" s="580" t="s">
        <v>267</v>
      </c>
      <c r="B64" s="470" t="s">
        <v>240</v>
      </c>
      <c r="C64" s="470" t="s">
        <v>268</v>
      </c>
      <c r="D64" s="471">
        <f t="shared" si="5"/>
        <v>0</v>
      </c>
      <c r="E64" s="471"/>
      <c r="F64" s="474"/>
      <c r="G64" s="474"/>
      <c r="H64" s="474"/>
      <c r="I64" s="720">
        <f t="shared" si="6"/>
        <v>0</v>
      </c>
      <c r="J64" s="474"/>
      <c r="K64" s="474"/>
      <c r="L64" s="474"/>
      <c r="M64" s="474"/>
      <c r="N64" s="474"/>
      <c r="O64" s="474"/>
      <c r="P64" s="474"/>
      <c r="Q64" s="474"/>
      <c r="R64" s="474"/>
      <c r="S64" s="474"/>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
      <c r="A65" s="580"/>
      <c r="B65" s="470"/>
      <c r="C65" s="470"/>
      <c r="D65" s="471"/>
      <c r="E65" s="471"/>
      <c r="F65" s="474"/>
      <c r="G65" s="624"/>
      <c r="H65" s="474"/>
      <c r="I65" s="720"/>
      <c r="J65" s="474"/>
      <c r="K65" s="474"/>
      <c r="L65" s="474"/>
      <c r="M65" s="474"/>
      <c r="N65" s="474"/>
      <c r="O65" s="474"/>
      <c r="P65" s="474"/>
      <c r="Q65" s="474"/>
      <c r="R65" s="474"/>
      <c r="S65" s="474"/>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
      <c r="A66" s="584"/>
      <c r="B66" s="586"/>
      <c r="C66" s="586"/>
      <c r="D66" s="654"/>
      <c r="E66" s="653"/>
      <c r="F66" s="474"/>
      <c r="G66" s="474"/>
      <c r="H66" s="474"/>
      <c r="I66" s="474"/>
      <c r="J66" s="474"/>
      <c r="K66" s="474"/>
      <c r="L66" s="474"/>
      <c r="M66" s="474"/>
      <c r="N66" s="474"/>
      <c r="O66" s="474"/>
      <c r="P66" s="474"/>
      <c r="Q66" s="474"/>
      <c r="R66" s="474"/>
      <c r="S66" s="474"/>
      <c r="T66" s="474"/>
      <c r="U66" s="474"/>
      <c r="V66" s="474"/>
      <c r="W66" s="474"/>
      <c r="X66" s="474"/>
      <c r="Y66" s="474"/>
      <c r="Z66" s="474"/>
      <c r="AA66" s="474"/>
      <c r="AB66" s="474"/>
      <c r="AC66" s="474"/>
      <c r="AD66" s="562">
        <f t="shared" ref="AD66:AD74" si="9">SUM(E66:AC66)</f>
        <v>0</v>
      </c>
      <c r="AE66" s="648">
        <f t="shared" ref="AE66:AE74" si="10">AD66*D66</f>
        <v>0</v>
      </c>
      <c r="AF66" s="649" t="str">
        <f t="shared" ref="AF66:AF74" si="11">IF(AD66&lt;0,"buy","sell")</f>
        <v>sell</v>
      </c>
    </row>
    <row r="67" spans="1:32" s="355" customFormat="1" x14ac:dyDescent="0.2">
      <c r="A67" s="584" t="s">
        <v>224</v>
      </c>
      <c r="B67" s="583" t="s">
        <v>240</v>
      </c>
      <c r="C67" s="583" t="s">
        <v>151</v>
      </c>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v>25</v>
      </c>
      <c r="AD67" s="562">
        <f t="shared" si="9"/>
        <v>25</v>
      </c>
      <c r="AE67" s="648">
        <f t="shared" si="10"/>
        <v>0</v>
      </c>
      <c r="AF67" s="649" t="str">
        <f t="shared" si="11"/>
        <v>sell</v>
      </c>
    </row>
    <row r="68" spans="1:32" s="355" customFormat="1" ht="12.75" customHeight="1" x14ac:dyDescent="0.2">
      <c r="A68" s="584" t="s">
        <v>224</v>
      </c>
      <c r="B68" s="586" t="s">
        <v>240</v>
      </c>
      <c r="C68" s="586" t="s">
        <v>268</v>
      </c>
      <c r="D68" s="654">
        <v>22.25</v>
      </c>
      <c r="E68" s="653"/>
      <c r="F68" s="474">
        <v>25</v>
      </c>
      <c r="G68" s="474">
        <v>25</v>
      </c>
      <c r="H68" s="474">
        <v>25</v>
      </c>
      <c r="I68" s="474">
        <v>25</v>
      </c>
      <c r="J68" s="474">
        <v>25</v>
      </c>
      <c r="K68" s="474">
        <v>25</v>
      </c>
      <c r="L68" s="474">
        <v>25</v>
      </c>
      <c r="M68" s="474"/>
      <c r="N68" s="474"/>
      <c r="O68" s="474"/>
      <c r="P68" s="474"/>
      <c r="Q68" s="474"/>
      <c r="R68" s="474"/>
      <c r="S68" s="474"/>
      <c r="T68" s="474"/>
      <c r="U68" s="474"/>
      <c r="V68" s="474"/>
      <c r="W68" s="474"/>
      <c r="X68" s="474"/>
      <c r="Y68" s="474"/>
      <c r="Z68" s="474"/>
      <c r="AA68" s="474"/>
      <c r="AB68" s="474"/>
      <c r="AC68" s="474">
        <v>25</v>
      </c>
      <c r="AD68" s="562">
        <f t="shared" si="9"/>
        <v>200</v>
      </c>
      <c r="AE68" s="648">
        <f t="shared" si="10"/>
        <v>4450</v>
      </c>
      <c r="AF68" s="649" t="str">
        <f t="shared" si="11"/>
        <v>sell</v>
      </c>
    </row>
    <row r="69" spans="1:32" s="355" customFormat="1" ht="12.75" customHeight="1" x14ac:dyDescent="0.2">
      <c r="A69" s="584" t="s">
        <v>63</v>
      </c>
      <c r="B69" s="586" t="s">
        <v>240</v>
      </c>
      <c r="C69" s="586" t="s">
        <v>268</v>
      </c>
      <c r="D69" s="654">
        <v>22.25</v>
      </c>
      <c r="E69" s="653"/>
      <c r="F69" s="474"/>
      <c r="G69" s="474"/>
      <c r="H69" s="474"/>
      <c r="I69" s="474"/>
      <c r="J69" s="474">
        <v>30</v>
      </c>
      <c r="K69" s="474">
        <v>30</v>
      </c>
      <c r="L69" s="474">
        <v>30</v>
      </c>
      <c r="M69" s="474">
        <v>30</v>
      </c>
      <c r="N69" s="474">
        <v>30</v>
      </c>
      <c r="O69" s="474">
        <v>30</v>
      </c>
      <c r="P69" s="474">
        <v>30</v>
      </c>
      <c r="Q69" s="474">
        <v>30</v>
      </c>
      <c r="R69" s="474">
        <v>30</v>
      </c>
      <c r="S69" s="474">
        <v>30</v>
      </c>
      <c r="T69" s="474">
        <v>30</v>
      </c>
      <c r="U69" s="474">
        <v>30</v>
      </c>
      <c r="V69" s="474">
        <v>30</v>
      </c>
      <c r="W69" s="474">
        <v>30</v>
      </c>
      <c r="X69" s="474">
        <v>30</v>
      </c>
      <c r="Y69" s="474">
        <v>30</v>
      </c>
      <c r="Z69" s="474">
        <v>30</v>
      </c>
      <c r="AA69" s="474">
        <v>30</v>
      </c>
      <c r="AB69" s="474">
        <v>30</v>
      </c>
      <c r="AC69" s="474">
        <v>30</v>
      </c>
      <c r="AD69" s="562">
        <f t="shared" si="9"/>
        <v>600</v>
      </c>
      <c r="AE69" s="648">
        <f t="shared" si="10"/>
        <v>13350</v>
      </c>
      <c r="AF69" s="649" t="str">
        <f t="shared" si="11"/>
        <v>sell</v>
      </c>
    </row>
    <row r="70" spans="1:32" s="355" customFormat="1" ht="12.75" customHeight="1" x14ac:dyDescent="0.2">
      <c r="A70" s="584" t="s">
        <v>65</v>
      </c>
      <c r="B70" s="583" t="s">
        <v>240</v>
      </c>
      <c r="C70" s="583" t="s">
        <v>151</v>
      </c>
      <c r="D70" s="654"/>
      <c r="E70" s="653"/>
      <c r="F70" s="474"/>
      <c r="G70" s="474">
        <v>75</v>
      </c>
      <c r="H70" s="474">
        <v>75</v>
      </c>
      <c r="I70" s="474">
        <v>75</v>
      </c>
      <c r="J70" s="474">
        <v>75</v>
      </c>
      <c r="K70" s="474">
        <v>75</v>
      </c>
      <c r="L70" s="474">
        <v>75</v>
      </c>
      <c r="M70" s="474"/>
      <c r="N70" s="474"/>
      <c r="O70" s="474"/>
      <c r="P70" s="474"/>
      <c r="Q70" s="474"/>
      <c r="R70" s="474"/>
      <c r="S70" s="474"/>
      <c r="T70" s="474"/>
      <c r="U70" s="474"/>
      <c r="V70" s="474"/>
      <c r="W70" s="474"/>
      <c r="X70" s="474"/>
      <c r="Y70" s="474"/>
      <c r="Z70" s="474"/>
      <c r="AA70" s="474"/>
      <c r="AB70" s="474"/>
      <c r="AC70" s="474">
        <v>75</v>
      </c>
      <c r="AD70" s="562">
        <f t="shared" si="9"/>
        <v>525</v>
      </c>
      <c r="AE70" s="648">
        <f t="shared" si="10"/>
        <v>0</v>
      </c>
      <c r="AF70" s="649" t="str">
        <f t="shared" si="11"/>
        <v>sell</v>
      </c>
    </row>
    <row r="71" spans="1:32" s="355" customFormat="1" ht="12.75" customHeight="1" x14ac:dyDescent="0.2">
      <c r="A71" s="584" t="s">
        <v>224</v>
      </c>
      <c r="B71" s="583" t="s">
        <v>240</v>
      </c>
      <c r="C71" s="583" t="s">
        <v>151</v>
      </c>
      <c r="D71" s="654"/>
      <c r="E71" s="653"/>
      <c r="F71" s="474"/>
      <c r="G71" s="474">
        <v>25</v>
      </c>
      <c r="H71" s="474">
        <v>25</v>
      </c>
      <c r="I71" s="474">
        <v>25</v>
      </c>
      <c r="J71" s="474">
        <v>25</v>
      </c>
      <c r="K71" s="474">
        <v>25</v>
      </c>
      <c r="L71" s="474">
        <v>25</v>
      </c>
      <c r="M71" s="474"/>
      <c r="N71" s="474"/>
      <c r="O71" s="474"/>
      <c r="P71" s="474"/>
      <c r="Q71" s="474"/>
      <c r="R71" s="474"/>
      <c r="S71" s="474"/>
      <c r="T71" s="474"/>
      <c r="U71" s="474"/>
      <c r="V71" s="474"/>
      <c r="W71" s="474"/>
      <c r="X71" s="474"/>
      <c r="Y71" s="474"/>
      <c r="Z71" s="474"/>
      <c r="AA71" s="474"/>
      <c r="AB71" s="474"/>
      <c r="AC71" s="474"/>
      <c r="AD71" s="562">
        <f t="shared" si="9"/>
        <v>150</v>
      </c>
      <c r="AE71" s="648">
        <f t="shared" si="10"/>
        <v>0</v>
      </c>
      <c r="AF71" s="649" t="str">
        <f t="shared" si="11"/>
        <v>sell</v>
      </c>
    </row>
    <row r="72" spans="1:32" s="401" customFormat="1" ht="12.75" customHeight="1" x14ac:dyDescent="0.2">
      <c r="A72" s="584" t="s">
        <v>384</v>
      </c>
      <c r="B72" s="586" t="s">
        <v>240</v>
      </c>
      <c r="C72" s="586" t="s">
        <v>151</v>
      </c>
      <c r="D72" s="654"/>
      <c r="E72" s="653"/>
      <c r="F72" s="474"/>
      <c r="G72" s="474"/>
      <c r="H72" s="474"/>
      <c r="I72" s="474"/>
      <c r="J72" s="474"/>
      <c r="K72" s="474"/>
      <c r="L72" s="474"/>
      <c r="M72" s="474">
        <v>25</v>
      </c>
      <c r="N72" s="474">
        <v>25</v>
      </c>
      <c r="O72" s="474">
        <v>25</v>
      </c>
      <c r="P72" s="474">
        <v>25</v>
      </c>
      <c r="Q72" s="474">
        <v>25</v>
      </c>
      <c r="R72" s="474">
        <v>25</v>
      </c>
      <c r="S72" s="474">
        <v>25</v>
      </c>
      <c r="T72" s="474">
        <v>25</v>
      </c>
      <c r="U72" s="474">
        <v>25</v>
      </c>
      <c r="V72" s="474">
        <v>25</v>
      </c>
      <c r="W72" s="474">
        <v>25</v>
      </c>
      <c r="X72" s="474">
        <v>25</v>
      </c>
      <c r="Y72" s="474">
        <v>25</v>
      </c>
      <c r="Z72" s="474">
        <v>25</v>
      </c>
      <c r="AA72" s="474">
        <v>25</v>
      </c>
      <c r="AB72" s="474">
        <v>25</v>
      </c>
      <c r="AC72" s="474"/>
      <c r="AD72" s="562">
        <f t="shared" si="9"/>
        <v>400</v>
      </c>
      <c r="AE72" s="648">
        <f t="shared" si="10"/>
        <v>0</v>
      </c>
      <c r="AF72" s="649" t="str">
        <f t="shared" si="11"/>
        <v>sell</v>
      </c>
    </row>
    <row r="73" spans="1:32" s="401" customFormat="1" ht="12.75" customHeight="1" x14ac:dyDescent="0.2">
      <c r="A73" s="713" t="s">
        <v>383</v>
      </c>
      <c r="B73" s="586" t="s">
        <v>240</v>
      </c>
      <c r="C73" s="718" t="s">
        <v>151</v>
      </c>
      <c r="D73" s="654"/>
      <c r="E73" s="653"/>
      <c r="F73" s="474"/>
      <c r="G73" s="474"/>
      <c r="H73" s="474"/>
      <c r="I73" s="474"/>
      <c r="J73" s="474"/>
      <c r="K73" s="474"/>
      <c r="L73" s="474"/>
      <c r="M73" s="474">
        <v>25</v>
      </c>
      <c r="N73" s="474">
        <v>25</v>
      </c>
      <c r="O73" s="474">
        <v>25</v>
      </c>
      <c r="P73" s="474">
        <v>25</v>
      </c>
      <c r="Q73" s="474">
        <v>25</v>
      </c>
      <c r="R73" s="474">
        <v>25</v>
      </c>
      <c r="S73" s="474">
        <v>25</v>
      </c>
      <c r="T73" s="474">
        <v>25</v>
      </c>
      <c r="U73" s="474">
        <v>25</v>
      </c>
      <c r="V73" s="474">
        <v>25</v>
      </c>
      <c r="W73" s="474">
        <v>25</v>
      </c>
      <c r="X73" s="474">
        <v>25</v>
      </c>
      <c r="Y73" s="474">
        <v>25</v>
      </c>
      <c r="Z73" s="474">
        <v>25</v>
      </c>
      <c r="AA73" s="474">
        <v>25</v>
      </c>
      <c r="AB73" s="474">
        <v>25</v>
      </c>
      <c r="AC73" s="474"/>
      <c r="AD73" s="562">
        <f t="shared" si="9"/>
        <v>400</v>
      </c>
      <c r="AE73" s="648">
        <f t="shared" si="10"/>
        <v>0</v>
      </c>
      <c r="AF73" s="649" t="str">
        <f t="shared" si="11"/>
        <v>sell</v>
      </c>
    </row>
    <row r="74" spans="1:32" s="355" customFormat="1" ht="12.75" customHeight="1" x14ac:dyDescent="0.2">
      <c r="A74" s="713"/>
      <c r="B74" s="583"/>
      <c r="C74" s="715"/>
      <c r="D74" s="654"/>
      <c r="E74" s="653"/>
      <c r="F74" s="474"/>
      <c r="G74" s="474"/>
      <c r="H74" s="474"/>
      <c r="I74" s="474"/>
      <c r="J74" s="474"/>
      <c r="K74" s="474"/>
      <c r="L74" s="474"/>
      <c r="M74" s="474"/>
      <c r="N74" s="474"/>
      <c r="O74" s="474"/>
      <c r="P74" s="474"/>
      <c r="Q74" s="474"/>
      <c r="R74" s="474"/>
      <c r="S74" s="474"/>
      <c r="T74" s="474"/>
      <c r="U74" s="474"/>
      <c r="V74" s="474"/>
      <c r="W74" s="474"/>
      <c r="X74" s="474"/>
      <c r="Y74" s="474"/>
      <c r="Z74" s="474"/>
      <c r="AA74" s="474"/>
      <c r="AB74" s="474"/>
      <c r="AC74" s="474"/>
      <c r="AD74" s="562">
        <f t="shared" si="9"/>
        <v>0</v>
      </c>
      <c r="AE74" s="648">
        <f t="shared" si="10"/>
        <v>0</v>
      </c>
      <c r="AF74" s="649" t="str">
        <f t="shared" si="11"/>
        <v>sell</v>
      </c>
    </row>
    <row r="75" spans="1:32" s="355" customFormat="1" ht="15" x14ac:dyDescent="0.25">
      <c r="A75" s="712" t="s">
        <v>360</v>
      </c>
      <c r="B75" s="712"/>
      <c r="C75" s="712"/>
      <c r="D75" s="712"/>
      <c r="E75" s="714"/>
      <c r="F75" s="721"/>
      <c r="G75" s="721"/>
      <c r="H75" s="721"/>
      <c r="I75" s="721"/>
      <c r="J75" s="721"/>
      <c r="K75" s="721"/>
      <c r="L75" s="721"/>
      <c r="M75" s="722"/>
      <c r="N75" s="721"/>
      <c r="O75" s="722"/>
      <c r="P75" s="721"/>
      <c r="Q75" s="721"/>
      <c r="R75" s="721"/>
      <c r="S75" s="721"/>
      <c r="T75" s="721"/>
      <c r="U75" s="721"/>
      <c r="V75" s="721"/>
      <c r="W75" s="721"/>
      <c r="X75" s="721"/>
      <c r="Y75" s="721"/>
      <c r="Z75" s="721"/>
      <c r="AA75" s="721"/>
      <c r="AB75" s="721"/>
      <c r="AC75" s="721"/>
      <c r="AD75" s="714"/>
      <c r="AE75" s="714"/>
      <c r="AF75" s="714"/>
    </row>
    <row r="76" spans="1:32" s="355" customFormat="1" x14ac:dyDescent="0.2">
      <c r="A76" s="585"/>
      <c r="B76" s="588"/>
      <c r="C76" s="588"/>
      <c r="D76" s="717"/>
      <c r="E76" s="582"/>
      <c r="F76" s="655"/>
      <c r="G76" s="655"/>
      <c r="H76" s="655"/>
      <c r="I76" s="655"/>
      <c r="J76" s="655"/>
      <c r="K76" s="655"/>
      <c r="L76" s="655"/>
      <c r="M76" s="655"/>
      <c r="N76" s="655"/>
      <c r="O76" s="655"/>
      <c r="P76" s="655"/>
      <c r="Q76" s="655"/>
      <c r="R76" s="655"/>
      <c r="S76" s="655"/>
      <c r="T76" s="655"/>
      <c r="U76" s="655"/>
      <c r="V76" s="655"/>
      <c r="W76" s="655"/>
      <c r="X76" s="655"/>
      <c r="Y76" s="655"/>
      <c r="Z76" s="655"/>
      <c r="AA76" s="655"/>
      <c r="AB76" s="655"/>
      <c r="AC76" s="655"/>
      <c r="AD76" s="562">
        <f>SUM(E76:AC76)</f>
        <v>0</v>
      </c>
      <c r="AE76" s="648">
        <f>AD76*D76</f>
        <v>0</v>
      </c>
      <c r="AF76" s="649" t="str">
        <f>IF(AD76&lt;0,"buy","sell")</f>
        <v>sell</v>
      </c>
    </row>
    <row r="77" spans="1:32" s="355" customFormat="1" x14ac:dyDescent="0.2">
      <c r="A77" s="585"/>
      <c r="B77" s="588"/>
      <c r="C77" s="588"/>
      <c r="D77" s="717"/>
      <c r="E77" s="582"/>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562">
        <f>SUM(E77:AC77)</f>
        <v>0</v>
      </c>
      <c r="AE77" s="648">
        <f>AD77*D77</f>
        <v>0</v>
      </c>
      <c r="AF77" s="649" t="str">
        <f>IF(AD77&lt;0,"buy","sell")</f>
        <v>sell</v>
      </c>
    </row>
    <row r="78" spans="1:32" s="355" customFormat="1" ht="15" x14ac:dyDescent="0.25">
      <c r="A78" s="716"/>
      <c r="B78" s="537"/>
      <c r="C78" s="537"/>
      <c r="D78" s="536"/>
      <c r="E78" s="362"/>
      <c r="F78" s="623"/>
      <c r="G78" s="623"/>
      <c r="H78" s="623"/>
      <c r="I78" s="623"/>
      <c r="J78" s="623"/>
      <c r="K78" s="623"/>
      <c r="L78" s="623"/>
      <c r="M78" s="623"/>
      <c r="N78" s="623"/>
      <c r="O78" s="623"/>
      <c r="P78" s="623"/>
      <c r="Q78" s="623"/>
      <c r="R78" s="623"/>
      <c r="S78" s="623"/>
      <c r="T78" s="623"/>
      <c r="U78" s="623"/>
      <c r="V78" s="623"/>
      <c r="W78" s="623"/>
      <c r="X78" s="623"/>
      <c r="Y78" s="623"/>
      <c r="Z78" s="623"/>
      <c r="AA78" s="623"/>
      <c r="AB78" s="623"/>
      <c r="AC78" s="623"/>
      <c r="AD78" s="642"/>
      <c r="AE78" s="645"/>
      <c r="AF78" s="645"/>
    </row>
    <row r="79" spans="1:32" s="355" customFormat="1" ht="12.75" customHeight="1" x14ac:dyDescent="0.2">
      <c r="A79" s="584"/>
      <c r="B79" s="719"/>
      <c r="C79" s="583"/>
      <c r="D79" s="654"/>
      <c r="E79" s="653"/>
      <c r="F79" s="474"/>
      <c r="G79" s="474"/>
      <c r="H79" s="474"/>
      <c r="I79" s="474"/>
      <c r="J79" s="474"/>
      <c r="K79" s="474"/>
      <c r="L79" s="474"/>
      <c r="M79" s="474"/>
      <c r="N79" s="474"/>
      <c r="O79" s="474"/>
      <c r="P79" s="474"/>
      <c r="Q79" s="474"/>
      <c r="R79" s="474"/>
      <c r="S79" s="474"/>
      <c r="T79" s="474"/>
      <c r="U79" s="474"/>
      <c r="V79" s="474"/>
      <c r="W79" s="474"/>
      <c r="X79" s="474"/>
      <c r="Y79" s="474"/>
      <c r="Z79" s="474"/>
      <c r="AA79" s="474"/>
      <c r="AB79" s="474"/>
      <c r="AC79" s="474"/>
      <c r="AD79" s="562">
        <f>SUM(E79:AC79)</f>
        <v>0</v>
      </c>
      <c r="AE79" s="648">
        <f>AD79*D79</f>
        <v>0</v>
      </c>
      <c r="AF79" s="649" t="str">
        <f>IF(AD79&lt;0,"buy","sell")</f>
        <v>sell</v>
      </c>
    </row>
    <row r="80" spans="1:32" s="355" customFormat="1" ht="12.75" customHeight="1" x14ac:dyDescent="0.2">
      <c r="A80" s="584" t="s">
        <v>65</v>
      </c>
      <c r="B80" s="583" t="s">
        <v>240</v>
      </c>
      <c r="C80" s="583" t="s">
        <v>151</v>
      </c>
      <c r="D80" s="654">
        <v>121</v>
      </c>
      <c r="E80" s="653"/>
      <c r="F80" s="474"/>
      <c r="G80" s="474"/>
      <c r="H80" s="474"/>
      <c r="I80" s="474"/>
      <c r="J80" s="474"/>
      <c r="K80" s="474"/>
      <c r="L80" s="474"/>
      <c r="M80" s="474">
        <v>-50</v>
      </c>
      <c r="N80" s="474">
        <v>-50</v>
      </c>
      <c r="O80" s="474">
        <v>-50</v>
      </c>
      <c r="P80" s="474">
        <v>-50</v>
      </c>
      <c r="Q80" s="474">
        <v>-50</v>
      </c>
      <c r="R80" s="474">
        <v>-50</v>
      </c>
      <c r="S80" s="474">
        <v>-50</v>
      </c>
      <c r="T80" s="474">
        <v>-50</v>
      </c>
      <c r="U80" s="474">
        <v>-50</v>
      </c>
      <c r="V80" s="474">
        <v>-50</v>
      </c>
      <c r="W80" s="474">
        <v>-50</v>
      </c>
      <c r="X80" s="474">
        <v>-50</v>
      </c>
      <c r="Y80" s="474">
        <v>-50</v>
      </c>
      <c r="Z80" s="474">
        <v>-50</v>
      </c>
      <c r="AA80" s="474">
        <v>-50</v>
      </c>
      <c r="AB80" s="474">
        <v>-50</v>
      </c>
      <c r="AC80" s="474"/>
      <c r="AD80" s="562">
        <f>SUM(E80:AC80)</f>
        <v>-800</v>
      </c>
      <c r="AE80" s="648">
        <f>AD80*D80</f>
        <v>-96800</v>
      </c>
      <c r="AF80" s="649" t="str">
        <f>IF(AD80&lt;0,"buy","sell")</f>
        <v>buy</v>
      </c>
    </row>
    <row r="81" spans="1:33" s="355" customFormat="1" ht="12.75" customHeight="1" x14ac:dyDescent="0.2">
      <c r="A81" s="584" t="s">
        <v>382</v>
      </c>
      <c r="B81" s="583" t="s">
        <v>240</v>
      </c>
      <c r="C81" s="583" t="s">
        <v>151</v>
      </c>
      <c r="D81" s="654">
        <v>141.4</v>
      </c>
      <c r="E81" s="653"/>
      <c r="F81" s="474"/>
      <c r="G81" s="474"/>
      <c r="H81" s="474"/>
      <c r="I81" s="474"/>
      <c r="J81" s="474"/>
      <c r="K81" s="474"/>
      <c r="L81" s="474"/>
      <c r="M81" s="474">
        <v>-25</v>
      </c>
      <c r="N81" s="474">
        <v>-25</v>
      </c>
      <c r="O81" s="474">
        <v>-25</v>
      </c>
      <c r="P81" s="474">
        <v>-25</v>
      </c>
      <c r="Q81" s="474">
        <v>-25</v>
      </c>
      <c r="R81" s="474">
        <v>-25</v>
      </c>
      <c r="S81" s="474">
        <v>-25</v>
      </c>
      <c r="T81" s="474">
        <v>-25</v>
      </c>
      <c r="U81" s="474">
        <v>-25</v>
      </c>
      <c r="V81" s="474">
        <v>-25</v>
      </c>
      <c r="W81" s="474">
        <v>-25</v>
      </c>
      <c r="X81" s="474">
        <v>-25</v>
      </c>
      <c r="Y81" s="474">
        <v>-25</v>
      </c>
      <c r="Z81" s="474">
        <v>-25</v>
      </c>
      <c r="AA81" s="474">
        <v>-25</v>
      </c>
      <c r="AB81" s="474">
        <v>-25</v>
      </c>
      <c r="AC81" s="474"/>
      <c r="AD81" s="562">
        <f>SUM(E81:AC81)</f>
        <v>-400</v>
      </c>
      <c r="AE81" s="648">
        <f>AD81*D81</f>
        <v>-56560</v>
      </c>
      <c r="AF81" s="649" t="str">
        <f>IF(AD81&lt;0,"buy","sell")</f>
        <v>buy</v>
      </c>
    </row>
    <row r="82" spans="1:33" s="355" customFormat="1" ht="12.75" customHeight="1" x14ac:dyDescent="0.2">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x14ac:dyDescent="0.2">
      <c r="A83" s="584"/>
      <c r="B83" s="583"/>
      <c r="C83" s="583"/>
      <c r="D83" s="654"/>
      <c r="E83" s="653"/>
      <c r="F83" s="474"/>
      <c r="G83" s="474"/>
      <c r="H83" s="474"/>
      <c r="I83" s="474"/>
      <c r="J83" s="474"/>
      <c r="K83" s="474"/>
      <c r="L83" s="474"/>
      <c r="M83" s="474"/>
      <c r="N83" s="474"/>
      <c r="O83" s="474"/>
      <c r="P83" s="474"/>
      <c r="Q83" s="474"/>
      <c r="R83" s="474"/>
      <c r="S83" s="474"/>
      <c r="T83" s="474"/>
      <c r="U83" s="474"/>
      <c r="V83" s="474"/>
      <c r="W83" s="474"/>
      <c r="X83" s="474"/>
      <c r="Y83" s="474"/>
      <c r="Z83" s="474"/>
      <c r="AA83" s="474"/>
      <c r="AB83" s="474"/>
      <c r="AC83" s="474"/>
      <c r="AD83" s="562">
        <f>SUM(E83:AC83)</f>
        <v>0</v>
      </c>
      <c r="AE83" s="648">
        <f>AD83*D83</f>
        <v>0</v>
      </c>
      <c r="AF83" s="649" t="str">
        <f>IF(AD83&lt;0,"buy","sell")</f>
        <v>sell</v>
      </c>
    </row>
    <row r="84" spans="1:33" s="355" customFormat="1" ht="15" x14ac:dyDescent="0.25">
      <c r="A84" s="689" t="s">
        <v>358</v>
      </c>
      <c r="B84" s="536"/>
      <c r="C84" s="536"/>
      <c r="D84" s="536"/>
      <c r="E84" s="578"/>
      <c r="F84" s="536"/>
      <c r="G84" s="536"/>
      <c r="H84" s="536"/>
      <c r="I84" s="536"/>
      <c r="J84" s="536"/>
      <c r="K84" s="536"/>
      <c r="L84" s="536"/>
      <c r="M84" s="536"/>
      <c r="N84" s="536"/>
      <c r="O84" s="536"/>
      <c r="P84" s="536"/>
      <c r="Q84" s="536"/>
      <c r="R84" s="536"/>
      <c r="S84" s="686"/>
      <c r="T84" s="536"/>
      <c r="U84" s="536"/>
      <c r="V84" s="536"/>
      <c r="W84" s="536"/>
      <c r="X84" s="536"/>
      <c r="Y84" s="536"/>
      <c r="Z84" s="536"/>
      <c r="AA84" s="536"/>
      <c r="AB84" s="536"/>
      <c r="AC84" s="536"/>
      <c r="AD84" s="536"/>
      <c r="AE84" s="536"/>
      <c r="AF84" s="536"/>
      <c r="AG84" s="465"/>
    </row>
    <row r="85" spans="1:33" s="355" customFormat="1" x14ac:dyDescent="0.2">
      <c r="A85" s="681"/>
      <c r="B85" s="588"/>
      <c r="C85" s="682"/>
      <c r="D85" s="587"/>
      <c r="E85" s="683"/>
      <c r="F85" s="655"/>
      <c r="G85" s="684"/>
      <c r="H85" s="684"/>
      <c r="I85" s="684"/>
      <c r="J85" s="684"/>
      <c r="K85" s="684"/>
      <c r="L85" s="684"/>
      <c r="M85" s="684"/>
      <c r="N85" s="684"/>
      <c r="O85" s="684"/>
      <c r="P85" s="684"/>
      <c r="Q85" s="684"/>
      <c r="R85" s="684"/>
      <c r="S85" s="687"/>
      <c r="T85" s="684"/>
      <c r="U85" s="684"/>
      <c r="V85" s="684"/>
      <c r="W85" s="684"/>
      <c r="X85" s="684"/>
      <c r="Y85" s="684"/>
      <c r="Z85" s="684"/>
      <c r="AA85" s="684"/>
      <c r="AB85" s="684"/>
      <c r="AC85" s="684"/>
      <c r="AD85" s="562">
        <f>SUM(AA85:AC85)</f>
        <v>0</v>
      </c>
      <c r="AE85" s="648">
        <f t="shared" ref="AE85:AE90" si="12">AD85*D85</f>
        <v>0</v>
      </c>
      <c r="AF85" s="649"/>
    </row>
    <row r="86" spans="1:33" s="355" customFormat="1" x14ac:dyDescent="0.2">
      <c r="A86" s="681" t="s">
        <v>386</v>
      </c>
      <c r="B86" s="588" t="s">
        <v>387</v>
      </c>
      <c r="C86" s="682" t="s">
        <v>268</v>
      </c>
      <c r="D86" s="587">
        <v>28</v>
      </c>
      <c r="E86" s="683"/>
      <c r="F86" s="655"/>
      <c r="G86" s="684"/>
      <c r="H86" s="684"/>
      <c r="I86" s="684"/>
      <c r="J86" s="684"/>
      <c r="K86" s="684"/>
      <c r="L86" s="684"/>
      <c r="M86" s="684"/>
      <c r="N86" s="684">
        <v>-25</v>
      </c>
      <c r="O86" s="684"/>
      <c r="P86" s="684"/>
      <c r="Q86" s="684"/>
      <c r="R86" s="684"/>
      <c r="S86" s="687"/>
      <c r="T86" s="684"/>
      <c r="U86" s="684"/>
      <c r="V86" s="684"/>
      <c r="W86" s="684"/>
      <c r="X86" s="684"/>
      <c r="Y86" s="684"/>
      <c r="Z86" s="684"/>
      <c r="AA86" s="684"/>
      <c r="AB86" s="684"/>
      <c r="AC86" s="684"/>
      <c r="AD86" s="562">
        <f>SUM(E86:AC86)</f>
        <v>-25</v>
      </c>
      <c r="AE86" s="648">
        <f t="shared" si="12"/>
        <v>-700</v>
      </c>
      <c r="AF86" s="649" t="str">
        <f>IF(AD86&lt;0,"buy","sell")</f>
        <v>buy</v>
      </c>
    </row>
    <row r="87" spans="1:33" s="355" customFormat="1" x14ac:dyDescent="0.2">
      <c r="A87" s="681" t="s">
        <v>63</v>
      </c>
      <c r="B87" s="588" t="s">
        <v>387</v>
      </c>
      <c r="C87" s="682" t="s">
        <v>151</v>
      </c>
      <c r="D87" s="587">
        <v>27</v>
      </c>
      <c r="E87" s="683"/>
      <c r="F87" s="655"/>
      <c r="G87" s="684"/>
      <c r="H87" s="684"/>
      <c r="I87" s="684"/>
      <c r="J87" s="684"/>
      <c r="K87" s="684"/>
      <c r="L87" s="684"/>
      <c r="M87" s="684"/>
      <c r="N87" s="684"/>
      <c r="O87" s="684"/>
      <c r="P87" s="684"/>
      <c r="Q87" s="684"/>
      <c r="R87" s="684"/>
      <c r="S87" s="687"/>
      <c r="T87" s="684"/>
      <c r="U87" s="684"/>
      <c r="V87" s="684"/>
      <c r="W87" s="684"/>
      <c r="X87" s="684"/>
      <c r="Y87" s="684">
        <v>-25</v>
      </c>
      <c r="Z87" s="684"/>
      <c r="AA87" s="684"/>
      <c r="AB87" s="684"/>
      <c r="AC87" s="684"/>
      <c r="AD87" s="562">
        <f>SUM(E87:AC87)</f>
        <v>-25</v>
      </c>
      <c r="AE87" s="648">
        <f t="shared" si="12"/>
        <v>-675</v>
      </c>
      <c r="AF87" s="649" t="str">
        <f>IF(AD87&lt;0,"buy","sell")</f>
        <v>buy</v>
      </c>
    </row>
    <row r="88" spans="1:33" s="355" customFormat="1" x14ac:dyDescent="0.2">
      <c r="A88" s="681" t="s">
        <v>63</v>
      </c>
      <c r="B88" s="588" t="s">
        <v>387</v>
      </c>
      <c r="C88" s="682" t="s">
        <v>151</v>
      </c>
      <c r="D88" s="587">
        <v>25</v>
      </c>
      <c r="E88" s="683"/>
      <c r="F88" s="655"/>
      <c r="G88" s="684"/>
      <c r="H88" s="684"/>
      <c r="I88" s="684"/>
      <c r="J88" s="684"/>
      <c r="K88" s="684"/>
      <c r="L88" s="684"/>
      <c r="M88" s="684"/>
      <c r="N88" s="684"/>
      <c r="O88" s="684"/>
      <c r="P88" s="684"/>
      <c r="Q88" s="684"/>
      <c r="R88" s="684"/>
      <c r="S88" s="687"/>
      <c r="T88" s="684"/>
      <c r="U88" s="684"/>
      <c r="V88" s="684"/>
      <c r="W88" s="684"/>
      <c r="X88" s="684"/>
      <c r="Y88" s="684"/>
      <c r="Z88" s="684">
        <v>-25</v>
      </c>
      <c r="AA88" s="684"/>
      <c r="AB88" s="684"/>
      <c r="AC88" s="684"/>
      <c r="AD88" s="562">
        <f>SUM(E88:AC88)</f>
        <v>-25</v>
      </c>
      <c r="AE88" s="648">
        <f t="shared" si="12"/>
        <v>-625</v>
      </c>
      <c r="AF88" s="649" t="str">
        <f>IF(AD88&lt;0,"buy","sell")</f>
        <v>buy</v>
      </c>
    </row>
    <row r="89" spans="1:33" s="355" customFormat="1" x14ac:dyDescent="0.2">
      <c r="A89" s="681" t="s">
        <v>63</v>
      </c>
      <c r="B89" s="588" t="s">
        <v>387</v>
      </c>
      <c r="C89" s="682" t="s">
        <v>151</v>
      </c>
      <c r="D89" s="587">
        <v>20</v>
      </c>
      <c r="E89" s="683"/>
      <c r="F89" s="655"/>
      <c r="G89" s="684"/>
      <c r="H89" s="684"/>
      <c r="I89" s="684"/>
      <c r="J89" s="684"/>
      <c r="K89" s="684"/>
      <c r="L89" s="684"/>
      <c r="M89" s="684"/>
      <c r="N89" s="684"/>
      <c r="O89" s="684"/>
      <c r="P89" s="684"/>
      <c r="Q89" s="684"/>
      <c r="R89" s="684"/>
      <c r="S89" s="687"/>
      <c r="T89" s="684"/>
      <c r="U89" s="684"/>
      <c r="V89" s="684"/>
      <c r="W89" s="684"/>
      <c r="X89" s="684"/>
      <c r="Y89" s="684"/>
      <c r="Z89" s="684"/>
      <c r="AA89" s="684">
        <v>-25</v>
      </c>
      <c r="AB89" s="684"/>
      <c r="AC89" s="684"/>
      <c r="AD89" s="562">
        <f>SUM(E89:AC89)</f>
        <v>-25</v>
      </c>
      <c r="AE89" s="648">
        <f t="shared" si="12"/>
        <v>-500</v>
      </c>
      <c r="AF89" s="649" t="str">
        <f>IF(AD89&lt;0,"buy","sell")</f>
        <v>buy</v>
      </c>
    </row>
    <row r="90" spans="1:33" s="355" customFormat="1" x14ac:dyDescent="0.2">
      <c r="A90" s="681"/>
      <c r="B90" s="588"/>
      <c r="C90" s="682"/>
      <c r="D90" s="587"/>
      <c r="E90" s="683"/>
      <c r="F90" s="655"/>
      <c r="G90" s="684"/>
      <c r="H90" s="684"/>
      <c r="I90" s="684"/>
      <c r="J90" s="684"/>
      <c r="K90" s="684"/>
      <c r="L90" s="684"/>
      <c r="M90" s="684"/>
      <c r="N90" s="684"/>
      <c r="O90" s="684"/>
      <c r="P90" s="684"/>
      <c r="Q90" s="684"/>
      <c r="R90" s="684"/>
      <c r="S90" s="684"/>
      <c r="T90" s="684"/>
      <c r="U90" s="684"/>
      <c r="V90" s="684"/>
      <c r="W90" s="684"/>
      <c r="X90" s="684"/>
      <c r="Y90" s="684"/>
      <c r="Z90" s="684"/>
      <c r="AA90" s="684"/>
      <c r="AB90" s="684"/>
      <c r="AC90" s="684"/>
      <c r="AD90" s="562">
        <f>SUM(AA90:AC90)</f>
        <v>0</v>
      </c>
      <c r="AE90" s="648">
        <f t="shared" si="12"/>
        <v>0</v>
      </c>
      <c r="AF90" s="649"/>
    </row>
    <row r="91" spans="1:33" s="355" customFormat="1" ht="15" x14ac:dyDescent="0.25">
      <c r="A91" s="689" t="s">
        <v>361</v>
      </c>
      <c r="B91" s="536"/>
      <c r="C91" s="536"/>
      <c r="D91" s="536"/>
      <c r="E91" s="578"/>
      <c r="F91" s="536"/>
      <c r="G91" s="536"/>
      <c r="H91" s="536"/>
      <c r="I91" s="536"/>
      <c r="J91" s="536"/>
      <c r="K91" s="536"/>
      <c r="L91" s="536"/>
      <c r="M91" s="536"/>
      <c r="N91" s="536"/>
      <c r="O91" s="536"/>
      <c r="P91" s="536"/>
      <c r="Q91" s="536"/>
      <c r="R91" s="536"/>
      <c r="S91" s="536"/>
      <c r="T91" s="536"/>
      <c r="U91" s="536"/>
      <c r="V91" s="536"/>
      <c r="W91" s="536"/>
      <c r="X91" s="536"/>
      <c r="Y91" s="536"/>
      <c r="Z91" s="536"/>
      <c r="AA91" s="536"/>
      <c r="AB91" s="536"/>
      <c r="AC91" s="536"/>
      <c r="AD91" s="536"/>
      <c r="AE91" s="536"/>
      <c r="AF91" s="536"/>
      <c r="AG91" s="465"/>
    </row>
    <row r="92" spans="1:33" s="355" customFormat="1" x14ac:dyDescent="0.2">
      <c r="A92" s="541"/>
      <c r="B92" s="546"/>
      <c r="C92" s="546"/>
      <c r="D92" s="660"/>
      <c r="E92" s="709"/>
      <c r="F92" s="543"/>
      <c r="G92" s="543"/>
      <c r="H92" s="543"/>
      <c r="I92" s="543"/>
      <c r="J92" s="543"/>
      <c r="K92" s="543"/>
      <c r="L92" s="543"/>
      <c r="M92" s="543"/>
      <c r="N92" s="543"/>
      <c r="O92" s="543"/>
      <c r="P92" s="543"/>
      <c r="Q92" s="543"/>
      <c r="R92" s="543"/>
      <c r="S92" s="543"/>
      <c r="T92" s="543"/>
      <c r="U92" s="543"/>
      <c r="V92" s="543"/>
      <c r="W92" s="543"/>
      <c r="X92" s="543"/>
      <c r="Y92" s="543"/>
      <c r="Z92" s="543"/>
      <c r="AA92" s="543"/>
      <c r="AB92" s="543"/>
      <c r="AC92" s="543"/>
      <c r="AD92" s="562">
        <f>SUM(AA92:AC92)</f>
        <v>0</v>
      </c>
      <c r="AE92" s="648">
        <f>AD92*D92</f>
        <v>0</v>
      </c>
      <c r="AF92" s="649" t="str">
        <f>IF(AD92&lt;0,"buy","sell")</f>
        <v>sell</v>
      </c>
    </row>
    <row r="93" spans="1:33" s="355" customFormat="1" x14ac:dyDescent="0.2">
      <c r="A93" s="541"/>
      <c r="B93" s="546"/>
      <c r="C93" s="546"/>
      <c r="D93" s="542"/>
      <c r="E93" s="710"/>
      <c r="F93" s="543"/>
      <c r="G93" s="543"/>
      <c r="H93" s="543"/>
      <c r="I93" s="543"/>
      <c r="J93" s="543"/>
      <c r="K93" s="543"/>
      <c r="L93" s="543"/>
      <c r="M93" s="543"/>
      <c r="N93" s="543"/>
      <c r="O93" s="543"/>
      <c r="P93" s="543"/>
      <c r="Q93" s="543"/>
      <c r="R93" s="543"/>
      <c r="S93" s="543"/>
      <c r="T93" s="543"/>
      <c r="U93" s="543"/>
      <c r="V93" s="543"/>
      <c r="W93" s="543"/>
      <c r="X93" s="543"/>
      <c r="Y93" s="543"/>
      <c r="Z93" s="543"/>
      <c r="AA93" s="543"/>
      <c r="AB93" s="543"/>
      <c r="AC93" s="543"/>
      <c r="AD93" s="552">
        <f>SUM(F98:AC98)</f>
        <v>0</v>
      </c>
      <c r="AE93" s="553">
        <f>AD93*D93</f>
        <v>0</v>
      </c>
      <c r="AF93" s="524" t="str">
        <f>IF(AD93&lt;0,"buy","sell")</f>
        <v>sell</v>
      </c>
    </row>
    <row r="94" spans="1:33" s="355" customFormat="1" x14ac:dyDescent="0.2">
      <c r="A94" s="544" t="s">
        <v>206</v>
      </c>
      <c r="B94" s="479"/>
      <c r="C94" s="479"/>
      <c r="D94" s="479"/>
      <c r="E94" s="479"/>
      <c r="F94" s="479"/>
      <c r="G94" s="479"/>
      <c r="H94" s="479"/>
      <c r="I94" s="479"/>
      <c r="J94" s="479"/>
      <c r="K94" s="479"/>
      <c r="L94" s="479"/>
      <c r="M94" s="479"/>
      <c r="N94" s="479"/>
      <c r="O94" s="479"/>
      <c r="P94" s="479"/>
      <c r="Q94" s="479"/>
      <c r="R94" s="479"/>
      <c r="S94" s="479"/>
      <c r="T94" s="479"/>
      <c r="U94" s="479"/>
      <c r="V94" s="479"/>
      <c r="W94" s="479"/>
      <c r="X94" s="479"/>
      <c r="Y94" s="479"/>
      <c r="Z94" s="479"/>
      <c r="AA94" s="479"/>
      <c r="AB94" s="479"/>
      <c r="AC94" s="479"/>
      <c r="AD94" s="479"/>
      <c r="AE94" s="479"/>
      <c r="AF94" s="479"/>
    </row>
    <row r="95" spans="1:33" s="355" customFormat="1" x14ac:dyDescent="0.2">
      <c r="B95" s="363"/>
      <c r="C95" s="363"/>
      <c r="D95" s="364"/>
      <c r="E95" s="364"/>
      <c r="F95" s="363"/>
      <c r="G95" s="365"/>
      <c r="H95" s="365"/>
      <c r="I95" s="365"/>
      <c r="J95" s="365"/>
      <c r="K95" s="365"/>
      <c r="L95" s="365"/>
      <c r="M95" s="365"/>
      <c r="N95" s="365"/>
      <c r="O95" s="365"/>
      <c r="P95" s="365"/>
      <c r="Q95" s="365"/>
      <c r="R95" s="365"/>
      <c r="S95" s="365"/>
      <c r="T95" s="365"/>
      <c r="U95" s="365"/>
      <c r="V95" s="365"/>
      <c r="W95" s="365"/>
      <c r="X95" s="365"/>
      <c r="Y95" s="365"/>
      <c r="Z95" s="439"/>
      <c r="AA95" s="439"/>
      <c r="AB95" s="439"/>
      <c r="AC95" s="527"/>
      <c r="AD95" s="456"/>
      <c r="AE95" s="457"/>
      <c r="AF95" s="439"/>
    </row>
    <row r="96" spans="1:33" s="355" customFormat="1" ht="18" x14ac:dyDescent="0.25">
      <c r="A96" s="679" t="s">
        <v>362</v>
      </c>
      <c r="B96" s="430"/>
      <c r="C96" s="537"/>
      <c r="D96" s="431"/>
      <c r="E96" s="431"/>
      <c r="F96" s="432"/>
      <c r="G96" s="433"/>
      <c r="H96" s="369"/>
      <c r="I96" s="369"/>
      <c r="J96" s="369"/>
      <c r="K96" s="370"/>
      <c r="L96" s="369"/>
      <c r="M96" s="369"/>
      <c r="N96" s="369"/>
      <c r="O96" s="369"/>
      <c r="P96" s="369"/>
      <c r="Q96" s="369"/>
      <c r="R96" s="369"/>
      <c r="S96" s="369" t="s">
        <v>15</v>
      </c>
      <c r="T96" s="369"/>
      <c r="U96" s="369"/>
      <c r="V96" s="369"/>
      <c r="W96" s="369"/>
      <c r="X96" s="369"/>
      <c r="Y96" s="369"/>
      <c r="Z96" s="371"/>
      <c r="AA96" s="371"/>
      <c r="AB96" s="371"/>
      <c r="AC96" s="528"/>
      <c r="AD96" s="456"/>
      <c r="AE96" s="457"/>
      <c r="AF96" s="371"/>
    </row>
    <row r="97" spans="1:33" s="355" customFormat="1" x14ac:dyDescent="0.2">
      <c r="A97" s="434"/>
      <c r="B97" s="435"/>
      <c r="C97" s="435"/>
      <c r="D97" s="431"/>
      <c r="E97" s="431"/>
      <c r="F97" s="433"/>
      <c r="G97" s="433"/>
      <c r="H97" s="369"/>
      <c r="I97" s="369"/>
      <c r="J97" s="369"/>
      <c r="K97" s="372"/>
      <c r="L97" s="372"/>
      <c r="M97" s="369"/>
      <c r="N97" s="369"/>
      <c r="O97" s="369"/>
      <c r="P97" s="369"/>
      <c r="Q97" s="369"/>
      <c r="R97" s="369"/>
      <c r="S97" s="369"/>
      <c r="T97" s="369"/>
      <c r="U97" s="369"/>
      <c r="V97" s="369"/>
      <c r="W97" s="369"/>
      <c r="X97" s="369"/>
      <c r="Y97" s="369"/>
      <c r="Z97" s="371"/>
      <c r="AA97" s="371"/>
      <c r="AB97" s="371"/>
      <c r="AC97" s="528"/>
      <c r="AD97" s="456"/>
      <c r="AE97" s="457"/>
      <c r="AF97" s="371"/>
    </row>
    <row r="98" spans="1:33" s="355" customFormat="1" ht="18" x14ac:dyDescent="0.25">
      <c r="A98" s="437"/>
      <c r="B98" s="438"/>
      <c r="C98" s="438"/>
      <c r="D98" s="438"/>
      <c r="E98" s="438"/>
      <c r="F98" s="677"/>
      <c r="G98" s="678"/>
      <c r="H98" s="369"/>
      <c r="I98" s="369"/>
      <c r="J98" s="369"/>
      <c r="K98" s="372"/>
      <c r="L98" s="370"/>
      <c r="M98" s="369"/>
      <c r="N98" s="369"/>
      <c r="O98" s="369"/>
      <c r="P98" s="369"/>
      <c r="Q98" s="369"/>
      <c r="R98" s="369"/>
      <c r="S98" s="369"/>
      <c r="T98" s="369"/>
      <c r="U98" s="369"/>
      <c r="V98" s="369"/>
      <c r="W98" s="369"/>
      <c r="X98" s="369"/>
      <c r="Y98" s="369"/>
      <c r="AA98" s="371"/>
      <c r="AB98" s="371"/>
      <c r="AC98" s="528"/>
      <c r="AD98" s="456"/>
      <c r="AE98" s="457"/>
      <c r="AF98" s="371"/>
    </row>
    <row r="99" spans="1:33" s="355" customFormat="1" ht="18" x14ac:dyDescent="0.25">
      <c r="A99" s="437"/>
      <c r="B99" s="438"/>
      <c r="C99" s="438"/>
      <c r="D99" s="550"/>
      <c r="E99" s="438"/>
      <c r="F99" s="436"/>
      <c r="G99" s="433"/>
      <c r="H99" s="369"/>
      <c r="I99" s="369"/>
      <c r="J99" s="369"/>
      <c r="K99" s="372"/>
      <c r="L99" s="370"/>
      <c r="M99" s="369"/>
      <c r="N99" s="369"/>
      <c r="O99" s="369"/>
      <c r="P99" s="369"/>
      <c r="Q99" s="369"/>
      <c r="R99" s="369"/>
      <c r="S99" s="369"/>
      <c r="T99" s="369"/>
      <c r="U99" s="369"/>
      <c r="V99" s="369"/>
      <c r="W99" s="369"/>
      <c r="X99" s="369"/>
      <c r="Y99" s="369"/>
      <c r="Z99" s="371" t="s">
        <v>207</v>
      </c>
      <c r="AA99" s="371"/>
      <c r="AB99" s="371"/>
      <c r="AC99" s="529"/>
      <c r="AD99" s="452"/>
      <c r="AE99" s="453"/>
      <c r="AF99" s="371"/>
    </row>
    <row r="100" spans="1:33" x14ac:dyDescent="0.2">
      <c r="A100" s="435"/>
      <c r="B100" s="435"/>
      <c r="C100" s="439"/>
      <c r="D100" s="554"/>
      <c r="E100" s="526"/>
      <c r="F100" s="560"/>
      <c r="G100" s="545"/>
      <c r="K100" s="372"/>
      <c r="M100" s="369"/>
      <c r="N100" s="369"/>
      <c r="Z100" s="371"/>
      <c r="AA100" s="530"/>
      <c r="AB100" s="530"/>
      <c r="AC100" s="529"/>
      <c r="AD100" s="401"/>
      <c r="AE100" s="401"/>
      <c r="AF100" s="530"/>
      <c r="AG100" s="355"/>
    </row>
    <row r="101" spans="1:33" s="355" customFormat="1" x14ac:dyDescent="0.2">
      <c r="A101" s="433"/>
      <c r="B101" s="433"/>
      <c r="C101" s="439"/>
      <c r="D101" s="554"/>
      <c r="E101" s="484"/>
      <c r="F101" s="560"/>
      <c r="G101" s="545"/>
      <c r="H101" s="369"/>
      <c r="I101" s="369"/>
      <c r="J101" s="369"/>
      <c r="K101" s="372"/>
      <c r="L101" s="369"/>
      <c r="M101" s="369"/>
      <c r="N101" s="369"/>
      <c r="O101" s="369"/>
      <c r="P101" s="369"/>
      <c r="Q101" s="369"/>
      <c r="R101" s="369"/>
      <c r="S101" s="369"/>
      <c r="T101" s="369"/>
      <c r="U101" s="369"/>
      <c r="V101" s="369"/>
      <c r="W101" s="369"/>
      <c r="X101" s="369"/>
      <c r="Y101" s="369"/>
      <c r="Z101" s="530" t="s">
        <v>261</v>
      </c>
      <c r="AA101" s="530"/>
      <c r="AB101" s="530"/>
      <c r="AC101" s="529"/>
      <c r="AD101" s="472">
        <f>SUM(AD16:AD66)+SUM(AD75:AD78)</f>
        <v>0</v>
      </c>
      <c r="AE101" s="472">
        <f>SUM(AE16:AE66)+SUM(AE75:AE78)</f>
        <v>0</v>
      </c>
      <c r="AF101" s="530"/>
    </row>
    <row r="102" spans="1:33" s="355" customFormat="1" x14ac:dyDescent="0.2">
      <c r="A102" s="435"/>
      <c r="B102" s="435"/>
      <c r="C102" s="439"/>
      <c r="D102" s="554"/>
      <c r="E102" s="484"/>
      <c r="F102" s="560"/>
      <c r="G102" s="545"/>
      <c r="H102" s="369"/>
      <c r="I102" s="369"/>
      <c r="J102" s="369"/>
      <c r="K102" s="372"/>
      <c r="L102" s="369"/>
      <c r="M102" s="369"/>
      <c r="N102" s="369"/>
      <c r="O102" s="369"/>
      <c r="P102" s="369"/>
      <c r="Q102" s="369"/>
      <c r="R102" s="369"/>
      <c r="S102" s="369"/>
      <c r="T102" s="369"/>
      <c r="U102" s="369"/>
      <c r="V102" s="369"/>
      <c r="W102" s="369"/>
      <c r="X102" s="369"/>
      <c r="Y102" s="369"/>
      <c r="Z102" s="530" t="s">
        <v>262</v>
      </c>
      <c r="AA102" s="530"/>
      <c r="AB102" s="530"/>
      <c r="AC102" s="531"/>
      <c r="AD102" s="472">
        <f>SUM(AD78:AD83)+SUM(AD84:AD91)</f>
        <v>-1300</v>
      </c>
      <c r="AE102" s="472">
        <f>SUM(AE78:AE83)+SUM(AE84:AE91)</f>
        <v>-155860</v>
      </c>
      <c r="AF102" s="530"/>
    </row>
    <row r="103" spans="1:33" s="355" customFormat="1" x14ac:dyDescent="0.2">
      <c r="A103" s="433"/>
      <c r="B103" s="433"/>
      <c r="C103" s="439"/>
      <c r="D103" s="554"/>
      <c r="E103" s="484"/>
      <c r="F103" s="560"/>
      <c r="G103" s="545"/>
      <c r="H103" s="376"/>
      <c r="I103" s="376"/>
      <c r="J103" s="376"/>
      <c r="K103" s="377"/>
      <c r="L103" s="376"/>
      <c r="M103" s="369"/>
      <c r="N103" s="369"/>
      <c r="O103" s="376"/>
      <c r="P103" s="376"/>
      <c r="Q103" s="376"/>
      <c r="R103" s="376"/>
      <c r="S103" s="376"/>
      <c r="T103" s="376"/>
      <c r="U103" s="376"/>
      <c r="V103" s="376"/>
      <c r="W103" s="376"/>
      <c r="X103" s="376"/>
      <c r="Y103" s="376"/>
      <c r="Z103" s="383"/>
      <c r="AA103" s="383"/>
      <c r="AB103" s="383"/>
      <c r="AC103" s="465"/>
      <c r="AF103" s="383"/>
    </row>
    <row r="104" spans="1:33" s="355" customFormat="1" x14ac:dyDescent="0.2">
      <c r="A104" s="435"/>
      <c r="B104" s="435"/>
      <c r="C104" s="439"/>
      <c r="D104" s="554"/>
      <c r="E104" s="484"/>
      <c r="F104" s="560"/>
      <c r="G104" s="545"/>
      <c r="H104" s="376"/>
      <c r="O104" s="369"/>
      <c r="P104" s="369"/>
      <c r="Q104" s="380"/>
      <c r="R104" s="380"/>
      <c r="S104" s="380"/>
      <c r="T104" s="380"/>
      <c r="U104" s="380"/>
      <c r="V104" s="380"/>
      <c r="W104" s="380"/>
      <c r="X104" s="380"/>
      <c r="Y104" s="380"/>
      <c r="Z104" s="532" t="s">
        <v>269</v>
      </c>
      <c r="AA104" s="532"/>
      <c r="AB104" s="532"/>
      <c r="AC104" s="533"/>
      <c r="AD104" s="476"/>
      <c r="AE104" s="477"/>
      <c r="AF104" s="401"/>
    </row>
    <row r="105" spans="1:33" s="355" customFormat="1" x14ac:dyDescent="0.2">
      <c r="A105" s="433"/>
      <c r="B105" s="433"/>
      <c r="C105" s="439"/>
      <c r="D105" s="554"/>
      <c r="E105" s="484"/>
      <c r="F105" s="560"/>
      <c r="G105" s="545"/>
      <c r="H105" s="369"/>
      <c r="O105" s="369"/>
      <c r="P105" s="369"/>
      <c r="Q105" s="369"/>
      <c r="R105" s="369"/>
      <c r="S105" s="369"/>
      <c r="T105" s="369"/>
      <c r="U105" s="369"/>
      <c r="V105" s="369"/>
      <c r="W105" s="369"/>
      <c r="X105" s="369"/>
      <c r="Y105" s="369"/>
      <c r="Z105" s="532"/>
      <c r="AA105" s="532"/>
      <c r="AB105" s="532"/>
      <c r="AC105" s="533"/>
      <c r="AD105" s="476"/>
      <c r="AE105" s="477"/>
      <c r="AF105" s="401"/>
    </row>
    <row r="106" spans="1:33" s="355" customFormat="1" x14ac:dyDescent="0.2">
      <c r="A106" s="435"/>
      <c r="B106" s="435"/>
      <c r="C106" s="439"/>
      <c r="D106" s="554"/>
      <c r="E106" s="484"/>
      <c r="F106" s="560"/>
      <c r="G106" s="545"/>
      <c r="H106" s="381"/>
      <c r="O106" s="369"/>
      <c r="P106" s="369"/>
      <c r="Q106" s="381"/>
      <c r="R106" s="381"/>
      <c r="S106" s="381"/>
      <c r="T106" s="381"/>
      <c r="U106" s="381"/>
      <c r="V106" s="381"/>
      <c r="W106" s="381"/>
      <c r="X106" s="381"/>
      <c r="Y106" s="381"/>
      <c r="Z106" s="532" t="s">
        <v>262</v>
      </c>
      <c r="AA106" s="532"/>
      <c r="AB106" s="532"/>
      <c r="AC106" s="533"/>
      <c r="AD106" s="478">
        <f>SUM(AD93:AD94)</f>
        <v>0</v>
      </c>
      <c r="AE106" s="478">
        <f>SUM(AE93:AE94)</f>
        <v>0</v>
      </c>
      <c r="AF106" s="401"/>
    </row>
    <row r="107" spans="1:33" s="355" customFormat="1" x14ac:dyDescent="0.2">
      <c r="A107" s="433"/>
      <c r="B107" s="433"/>
      <c r="C107" s="439"/>
      <c r="D107" s="554"/>
      <c r="E107" s="484"/>
      <c r="F107" s="560"/>
      <c r="G107" s="545"/>
      <c r="H107" s="381"/>
      <c r="O107" s="369"/>
      <c r="P107" s="369"/>
      <c r="Q107" s="381"/>
      <c r="R107" s="381"/>
      <c r="S107" s="381"/>
      <c r="T107" s="381"/>
      <c r="U107" s="381"/>
      <c r="V107" s="381"/>
      <c r="W107" s="381"/>
      <c r="X107" s="381"/>
      <c r="Y107" s="381"/>
      <c r="Z107" s="401"/>
      <c r="AA107" s="401"/>
      <c r="AB107" s="401"/>
      <c r="AC107" s="466"/>
      <c r="AD107" s="401"/>
      <c r="AE107" s="401"/>
      <c r="AF107" s="401"/>
    </row>
    <row r="108" spans="1:33" s="355" customFormat="1" x14ac:dyDescent="0.2">
      <c r="A108" s="435"/>
      <c r="B108" s="435"/>
      <c r="C108" s="439"/>
      <c r="D108" s="554"/>
      <c r="E108" s="484"/>
      <c r="F108" s="560"/>
      <c r="G108" s="545"/>
      <c r="H108" s="369"/>
      <c r="O108" s="369"/>
      <c r="P108" s="369"/>
      <c r="Q108" s="369"/>
      <c r="R108" s="369"/>
      <c r="S108" s="369"/>
      <c r="T108" s="369"/>
      <c r="U108" s="369"/>
      <c r="V108" s="369"/>
      <c r="W108" s="369"/>
      <c r="X108" s="369"/>
      <c r="Y108" s="369"/>
      <c r="Z108" s="401"/>
      <c r="AA108" s="401"/>
      <c r="AB108" s="401"/>
      <c r="AC108" s="466"/>
      <c r="AD108" s="401"/>
      <c r="AE108" s="401"/>
      <c r="AF108" s="401"/>
    </row>
    <row r="109" spans="1:33" s="401" customFormat="1" x14ac:dyDescent="0.2">
      <c r="A109" s="433"/>
      <c r="B109" s="433"/>
      <c r="C109" s="439"/>
      <c r="D109" s="554"/>
      <c r="E109" s="484"/>
      <c r="F109" s="560"/>
      <c r="G109" s="545"/>
      <c r="H109" s="369"/>
      <c r="I109" s="355"/>
      <c r="J109" s="355"/>
      <c r="K109" s="355"/>
      <c r="L109" s="355"/>
      <c r="M109" s="355"/>
      <c r="N109" s="355"/>
      <c r="O109" s="369"/>
      <c r="P109" s="369"/>
      <c r="Q109" s="369"/>
      <c r="R109" s="369"/>
      <c r="S109" s="369"/>
      <c r="T109" s="369"/>
      <c r="U109" s="369"/>
      <c r="V109" s="369"/>
      <c r="W109" s="369"/>
      <c r="X109" s="369"/>
      <c r="Y109" s="369"/>
      <c r="AC109" s="466"/>
      <c r="AG109" s="355"/>
    </row>
    <row r="110" spans="1:33" s="401" customFormat="1" ht="18" x14ac:dyDescent="0.25">
      <c r="A110" s="679" t="s">
        <v>357</v>
      </c>
      <c r="B110" s="435"/>
      <c r="C110" s="439"/>
      <c r="D110" s="554"/>
      <c r="E110" s="484"/>
      <c r="F110" s="560"/>
      <c r="G110" s="545"/>
      <c r="H110" s="382"/>
      <c r="I110" s="403"/>
      <c r="J110" s="403"/>
      <c r="K110" s="403"/>
      <c r="L110" s="403"/>
      <c r="M110" s="403"/>
      <c r="N110" s="403"/>
      <c r="O110" s="382"/>
      <c r="P110" s="382"/>
      <c r="Q110" s="382"/>
      <c r="R110" s="382"/>
      <c r="S110" s="382"/>
      <c r="T110" s="382"/>
      <c r="U110" s="382"/>
      <c r="V110" s="382"/>
      <c r="W110" s="382"/>
      <c r="X110" s="382"/>
      <c r="Y110" s="382"/>
      <c r="AC110" s="466"/>
      <c r="AG110" s="369"/>
    </row>
    <row r="111" spans="1:33" s="401" customFormat="1" x14ac:dyDescent="0.2">
      <c r="A111" s="433"/>
      <c r="B111" s="433"/>
      <c r="C111" s="439"/>
      <c r="D111" s="554"/>
      <c r="E111" s="484"/>
      <c r="F111" s="560"/>
      <c r="G111" s="545"/>
      <c r="H111" s="383"/>
      <c r="I111" s="355"/>
      <c r="J111" s="355"/>
      <c r="K111" s="355"/>
      <c r="L111" s="355"/>
      <c r="M111" s="355"/>
      <c r="N111" s="355"/>
      <c r="O111" s="383"/>
      <c r="P111" s="383"/>
      <c r="Q111" s="383"/>
      <c r="R111" s="383"/>
      <c r="S111" s="383"/>
      <c r="T111" s="383"/>
      <c r="U111" s="383"/>
      <c r="V111" s="383"/>
      <c r="W111" s="383"/>
      <c r="X111" s="383"/>
      <c r="Y111" s="383"/>
      <c r="AC111" s="466"/>
      <c r="AG111" s="355"/>
    </row>
    <row r="112" spans="1:33" s="401" customFormat="1" x14ac:dyDescent="0.2">
      <c r="A112" s="435"/>
      <c r="B112" s="435"/>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Z112" s="383"/>
      <c r="AA112" s="383"/>
      <c r="AB112" s="383"/>
      <c r="AC112" s="465"/>
      <c r="AG112" s="355"/>
    </row>
    <row r="113" spans="1:33" s="401" customFormat="1" x14ac:dyDescent="0.2">
      <c r="A113" s="433"/>
      <c r="B113" s="433"/>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D113" s="456"/>
      <c r="AE113" s="457"/>
      <c r="AF113" s="458"/>
      <c r="AG113" s="355"/>
    </row>
    <row r="114" spans="1:33" s="401" customFormat="1" ht="15.75" x14ac:dyDescent="0.25">
      <c r="A114" s="680"/>
      <c r="B114" s="435"/>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457"/>
      <c r="AF114" s="458"/>
      <c r="AG114" s="355"/>
    </row>
    <row r="115" spans="1:33" s="401" customFormat="1" x14ac:dyDescent="0.2">
      <c r="A115" s="433"/>
      <c r="B115" s="433"/>
      <c r="C115" s="439"/>
      <c r="D115" s="554"/>
      <c r="E115" s="484"/>
      <c r="F115" s="560"/>
      <c r="G115" s="545"/>
      <c r="H115" s="383"/>
      <c r="I115" s="355"/>
      <c r="J115" s="355"/>
      <c r="K115" s="355"/>
      <c r="L115" s="355"/>
      <c r="M115" s="355"/>
      <c r="N115" s="355"/>
      <c r="O115" s="383"/>
      <c r="P115" s="383"/>
      <c r="Q115" s="383"/>
      <c r="R115" s="383"/>
      <c r="S115" s="383"/>
      <c r="T115" s="383"/>
      <c r="U115" s="383"/>
      <c r="V115" s="383"/>
      <c r="W115" s="383"/>
      <c r="X115" s="383"/>
      <c r="Y115" s="383"/>
      <c r="Z115" s="383"/>
      <c r="AA115" s="383"/>
      <c r="AB115" s="383"/>
      <c r="AC115" s="465"/>
      <c r="AD115" s="456"/>
      <c r="AE115" s="457"/>
      <c r="AF115" s="458"/>
      <c r="AG115" s="355"/>
    </row>
    <row r="116" spans="1:33" s="401" customFormat="1" x14ac:dyDescent="0.2">
      <c r="A116" s="435"/>
      <c r="B116" s="435"/>
      <c r="C116" s="439"/>
      <c r="D116" s="554"/>
      <c r="E116" s="484"/>
      <c r="F116" s="560"/>
      <c r="G116" s="545"/>
      <c r="H116" s="383"/>
      <c r="I116" s="355"/>
      <c r="J116" s="355"/>
      <c r="K116" s="355"/>
      <c r="L116" s="355"/>
      <c r="M116" s="355"/>
      <c r="N116" s="355"/>
      <c r="O116" s="383"/>
      <c r="P116" s="383"/>
      <c r="Q116" s="383"/>
      <c r="R116" s="383"/>
      <c r="S116" s="383"/>
      <c r="T116" s="383"/>
      <c r="U116" s="383"/>
      <c r="V116" s="383"/>
      <c r="W116" s="383"/>
      <c r="X116" s="383"/>
      <c r="Y116" s="383"/>
      <c r="Z116" s="383"/>
      <c r="AA116" s="383"/>
      <c r="AB116" s="383"/>
      <c r="AC116" s="465"/>
      <c r="AD116" s="456"/>
      <c r="AE116" s="457"/>
      <c r="AF116" s="458"/>
      <c r="AG116" s="355"/>
    </row>
    <row r="117" spans="1:33" s="401" customFormat="1" x14ac:dyDescent="0.2">
      <c r="A117" s="433"/>
      <c r="B117" s="433"/>
      <c r="C117" s="439"/>
      <c r="D117" s="554"/>
      <c r="E117" s="484"/>
      <c r="F117" s="560"/>
      <c r="G117" s="545"/>
      <c r="H117" s="383"/>
      <c r="I117" s="355"/>
      <c r="J117" s="355"/>
      <c r="K117" s="355"/>
      <c r="L117" s="355"/>
      <c r="M117" s="355"/>
      <c r="N117" s="355"/>
      <c r="O117" s="383"/>
      <c r="P117" s="383"/>
      <c r="Q117" s="383"/>
      <c r="R117" s="383"/>
      <c r="S117" s="383"/>
      <c r="T117" s="383"/>
      <c r="U117" s="383"/>
      <c r="V117" s="383"/>
      <c r="W117" s="383"/>
      <c r="X117" s="383"/>
      <c r="Y117" s="383"/>
      <c r="Z117" s="383"/>
      <c r="AA117" s="383"/>
      <c r="AB117" s="383"/>
      <c r="AC117" s="465"/>
      <c r="AD117" s="456"/>
      <c r="AE117" s="534"/>
      <c r="AG117" s="355"/>
    </row>
    <row r="118" spans="1:33" s="401" customFormat="1" x14ac:dyDescent="0.2">
      <c r="A118" s="435"/>
      <c r="B118" s="435"/>
      <c r="C118" s="439"/>
      <c r="D118" s="554"/>
      <c r="E118" s="484"/>
      <c r="F118" s="560"/>
      <c r="G118" s="545"/>
      <c r="H118" s="386"/>
      <c r="I118" s="355"/>
      <c r="J118" s="355"/>
      <c r="K118" s="355"/>
      <c r="L118" s="355"/>
      <c r="M118" s="355"/>
      <c r="N118" s="355"/>
      <c r="O118" s="385"/>
      <c r="P118" s="385"/>
      <c r="Q118" s="386"/>
      <c r="R118" s="386"/>
      <c r="S118" s="386"/>
      <c r="T118" s="386"/>
      <c r="U118" s="386"/>
      <c r="V118" s="386"/>
      <c r="W118" s="386"/>
      <c r="X118" s="386"/>
      <c r="Y118" s="386"/>
      <c r="Z118" s="386"/>
      <c r="AA118" s="386"/>
      <c r="AB118" s="386"/>
      <c r="AC118" s="467"/>
      <c r="AG118" s="355"/>
    </row>
    <row r="119" spans="1:33" s="401" customFormat="1" x14ac:dyDescent="0.2">
      <c r="A119" s="433"/>
      <c r="B119" s="433"/>
      <c r="C119" s="439"/>
      <c r="D119" s="554"/>
      <c r="E119" s="484"/>
      <c r="F119" s="560"/>
      <c r="G119" s="545"/>
      <c r="H119" s="387"/>
      <c r="I119" s="355"/>
      <c r="J119" s="355"/>
      <c r="K119" s="355"/>
      <c r="L119" s="355"/>
      <c r="M119" s="355"/>
      <c r="N119" s="355"/>
      <c r="O119" s="410"/>
      <c r="P119" s="410"/>
      <c r="Q119" s="387"/>
      <c r="R119" s="387"/>
      <c r="S119" s="387"/>
      <c r="T119" s="387"/>
      <c r="U119" s="387"/>
      <c r="V119" s="387"/>
      <c r="W119" s="387"/>
      <c r="X119" s="387"/>
      <c r="Y119" s="387"/>
      <c r="Z119" s="387"/>
      <c r="AA119" s="387"/>
      <c r="AB119" s="387"/>
      <c r="AC119" s="468"/>
      <c r="AD119" s="535"/>
      <c r="AE119" s="460"/>
    </row>
    <row r="120" spans="1:33" s="459" customFormat="1" ht="13.5" thickBot="1" x14ac:dyDescent="0.25">
      <c r="A120" s="435"/>
      <c r="B120" s="435"/>
      <c r="C120" s="439"/>
      <c r="D120" s="554"/>
      <c r="E120" s="484"/>
      <c r="F120" s="560"/>
      <c r="G120" s="545"/>
      <c r="H120" s="387"/>
      <c r="I120" s="355"/>
      <c r="J120" s="355"/>
      <c r="K120" s="355"/>
      <c r="L120" s="355"/>
      <c r="M120" s="355"/>
      <c r="N120" s="355"/>
      <c r="O120" s="410"/>
      <c r="P120" s="410"/>
      <c r="Q120" s="387"/>
      <c r="R120" s="387"/>
      <c r="S120" s="387"/>
      <c r="T120" s="387"/>
      <c r="U120" s="387"/>
      <c r="V120" s="387"/>
      <c r="W120" s="387"/>
      <c r="X120" s="387"/>
      <c r="Y120" s="387"/>
      <c r="Z120" s="387"/>
      <c r="AA120" s="387"/>
      <c r="AB120" s="387"/>
      <c r="AC120" s="468"/>
      <c r="AD120" s="460"/>
      <c r="AE120" s="460"/>
      <c r="AF120" s="401"/>
      <c r="AG120" s="401"/>
    </row>
    <row r="121" spans="1:33" s="401" customFormat="1" x14ac:dyDescent="0.2">
      <c r="A121" s="433"/>
      <c r="B121" s="433"/>
      <c r="C121" s="439"/>
      <c r="D121" s="554"/>
      <c r="E121" s="484"/>
      <c r="F121" s="560"/>
      <c r="G121" s="545"/>
      <c r="H121" s="387"/>
      <c r="I121" s="355"/>
      <c r="J121" s="427"/>
      <c r="K121" s="355"/>
      <c r="L121" s="355"/>
      <c r="M121" s="355"/>
      <c r="N121" s="355"/>
      <c r="O121" s="410"/>
      <c r="P121" s="410"/>
      <c r="Q121" s="387"/>
      <c r="R121" s="387"/>
      <c r="S121" s="387"/>
      <c r="T121" s="387"/>
      <c r="U121" s="387"/>
      <c r="V121" s="387"/>
      <c r="W121" s="387"/>
      <c r="X121" s="387"/>
      <c r="Y121" s="387"/>
      <c r="Z121" s="387"/>
      <c r="AA121" s="387"/>
      <c r="AB121" s="387"/>
      <c r="AC121" s="468"/>
      <c r="AD121" s="355"/>
      <c r="AE121" s="355"/>
    </row>
    <row r="122" spans="1:33" s="355" customFormat="1" x14ac:dyDescent="0.2">
      <c r="A122" s="435"/>
      <c r="B122" s="435"/>
      <c r="C122" s="439"/>
      <c r="D122" s="554"/>
      <c r="E122" s="484"/>
      <c r="F122" s="560"/>
      <c r="G122" s="545"/>
      <c r="H122" s="387"/>
      <c r="O122" s="410"/>
      <c r="P122" s="410"/>
      <c r="Q122" s="387"/>
      <c r="R122" s="387"/>
      <c r="S122" s="387"/>
      <c r="T122" s="387"/>
      <c r="U122" s="387"/>
      <c r="V122" s="387"/>
      <c r="W122" s="387"/>
      <c r="X122" s="387"/>
      <c r="Y122" s="387"/>
      <c r="Z122" s="387"/>
      <c r="AA122" s="387"/>
      <c r="AB122" s="387"/>
      <c r="AC122" s="468"/>
      <c r="AD122" s="456"/>
      <c r="AE122" s="534"/>
      <c r="AF122" s="536"/>
      <c r="AG122" s="401"/>
    </row>
    <row r="123" spans="1:33" s="355" customFormat="1" x14ac:dyDescent="0.2">
      <c r="A123" s="435"/>
      <c r="B123" s="433"/>
      <c r="C123" s="439"/>
      <c r="D123" s="554"/>
      <c r="E123" s="526"/>
      <c r="F123" s="560"/>
      <c r="G123" s="545"/>
      <c r="H123" s="390"/>
      <c r="O123" s="411"/>
      <c r="P123" s="411"/>
      <c r="Q123" s="390"/>
      <c r="R123" s="390"/>
      <c r="S123" s="390"/>
      <c r="T123" s="390"/>
      <c r="U123" s="390"/>
      <c r="V123" s="390"/>
      <c r="W123" s="390"/>
      <c r="X123" s="390"/>
      <c r="Y123" s="390"/>
      <c r="Z123" s="387"/>
      <c r="AA123" s="387"/>
      <c r="AB123" s="387"/>
      <c r="AC123" s="468"/>
      <c r="AD123" s="456"/>
      <c r="AE123" s="534"/>
      <c r="AF123" s="536"/>
      <c r="AG123" s="401"/>
    </row>
    <row r="124" spans="1:33" s="355" customFormat="1" x14ac:dyDescent="0.2">
      <c r="A124" s="549"/>
      <c r="B124" s="435"/>
      <c r="C124" s="439"/>
      <c r="D124" s="555"/>
      <c r="E124" s="480"/>
      <c r="F124" s="560"/>
      <c r="G124" s="545"/>
      <c r="H124" s="390"/>
      <c r="O124" s="411"/>
      <c r="P124" s="411"/>
      <c r="Q124" s="390"/>
      <c r="R124" s="390"/>
      <c r="S124" s="390"/>
      <c r="T124" s="390"/>
      <c r="U124" s="390"/>
      <c r="V124" s="390"/>
      <c r="W124" s="390"/>
      <c r="X124" s="390"/>
      <c r="Y124" s="390"/>
      <c r="Z124" s="387"/>
      <c r="AA124" s="387"/>
      <c r="AB124" s="387"/>
      <c r="AC124" s="468"/>
      <c r="AD124" s="460"/>
      <c r="AE124" s="460"/>
      <c r="AF124" s="536"/>
      <c r="AG124" s="401"/>
    </row>
    <row r="125" spans="1:33" s="401" customFormat="1" x14ac:dyDescent="0.2">
      <c r="A125" s="355"/>
      <c r="B125" s="355"/>
      <c r="C125" s="355"/>
      <c r="D125" s="554"/>
      <c r="E125" s="355"/>
      <c r="F125" s="355"/>
      <c r="G125" s="433"/>
      <c r="H125" s="390"/>
      <c r="I125" s="355"/>
      <c r="J125" s="355"/>
      <c r="K125" s="355"/>
      <c r="L125" s="355"/>
      <c r="M125" s="355"/>
      <c r="N125" s="355"/>
      <c r="O125" s="411"/>
      <c r="P125" s="411"/>
      <c r="Q125" s="390"/>
      <c r="R125" s="390"/>
      <c r="S125" s="390"/>
      <c r="T125" s="390"/>
      <c r="U125" s="390"/>
      <c r="V125" s="390"/>
      <c r="W125" s="390"/>
      <c r="X125" s="390"/>
      <c r="Y125" s="390"/>
      <c r="Z125" s="387"/>
      <c r="AA125" s="387"/>
      <c r="AB125" s="387"/>
      <c r="AC125" s="468"/>
      <c r="AF125" s="454"/>
    </row>
    <row r="126" spans="1:33" s="401" customFormat="1" ht="18" x14ac:dyDescent="0.25">
      <c r="A126" s="432"/>
      <c r="B126" s="441"/>
      <c r="C126" s="442"/>
      <c r="D126" s="556"/>
      <c r="E126" s="442"/>
      <c r="F126" s="442"/>
      <c r="G126" s="433"/>
      <c r="H126" s="433"/>
      <c r="I126" s="355"/>
      <c r="J126" s="355"/>
      <c r="K126" s="355"/>
      <c r="L126" s="355"/>
      <c r="M126" s="355"/>
      <c r="N126" s="355"/>
      <c r="O126" s="443"/>
      <c r="P126" s="443"/>
      <c r="Q126" s="433"/>
      <c r="R126" s="433"/>
      <c r="S126" s="433"/>
      <c r="T126" s="433"/>
      <c r="U126" s="433"/>
      <c r="V126" s="433"/>
      <c r="W126" s="433"/>
      <c r="X126" s="433"/>
      <c r="Y126" s="390"/>
      <c r="Z126" s="387"/>
      <c r="AA126" s="387"/>
      <c r="AB126" s="387"/>
      <c r="AC126" s="468"/>
      <c r="AF126" s="454"/>
    </row>
    <row r="127" spans="1:33" s="401" customFormat="1" x14ac:dyDescent="0.2">
      <c r="A127" s="433"/>
      <c r="B127" s="433"/>
      <c r="C127" s="433"/>
      <c r="D127" s="557"/>
      <c r="E127" s="433"/>
      <c r="F127" s="433"/>
      <c r="G127" s="433"/>
      <c r="H127" s="433"/>
      <c r="I127" s="355"/>
      <c r="J127" s="355"/>
      <c r="K127" s="355"/>
      <c r="L127" s="355"/>
      <c r="M127" s="355"/>
      <c r="N127" s="355"/>
      <c r="O127" s="443"/>
      <c r="P127" s="443"/>
      <c r="Q127" s="433"/>
      <c r="R127" s="433"/>
      <c r="S127" s="433"/>
      <c r="T127" s="433"/>
      <c r="U127" s="433"/>
      <c r="V127" s="433"/>
      <c r="W127" s="433"/>
      <c r="X127" s="433"/>
      <c r="Y127" s="390"/>
      <c r="Z127" s="387"/>
      <c r="AA127" s="387"/>
      <c r="AB127" s="387"/>
      <c r="AC127" s="468"/>
      <c r="AF127" s="355"/>
    </row>
    <row r="128" spans="1:33" s="401" customFormat="1" ht="18" x14ac:dyDescent="0.25">
      <c r="A128" s="437"/>
      <c r="B128" s="438"/>
      <c r="C128" s="438"/>
      <c r="D128" s="676"/>
      <c r="E128" s="438"/>
      <c r="F128" s="677"/>
      <c r="G128" s="438"/>
      <c r="H128" s="433"/>
      <c r="I128" s="355"/>
      <c r="J128" s="355"/>
      <c r="K128" s="355"/>
      <c r="L128" s="355"/>
      <c r="M128" s="355"/>
      <c r="N128" s="355"/>
      <c r="O128" s="443"/>
      <c r="P128" s="443"/>
      <c r="Q128" s="433"/>
      <c r="R128" s="433"/>
      <c r="S128" s="433"/>
      <c r="T128" s="433"/>
      <c r="U128" s="433"/>
      <c r="V128" s="433"/>
      <c r="W128" s="433"/>
      <c r="X128" s="433"/>
      <c r="Y128" s="390"/>
      <c r="Z128" s="390"/>
      <c r="AA128" s="390"/>
      <c r="AB128" s="390"/>
      <c r="AC128" s="469"/>
      <c r="AF128" s="355"/>
    </row>
    <row r="129" spans="1:33" s="401" customFormat="1" ht="18" x14ac:dyDescent="0.25">
      <c r="A129" s="437"/>
      <c r="B129" s="438"/>
      <c r="C129" s="438"/>
      <c r="D129" s="558"/>
      <c r="E129" s="436"/>
      <c r="F129" s="436"/>
      <c r="G129" s="433"/>
      <c r="H129" s="444"/>
      <c r="I129" s="445"/>
      <c r="J129" s="355"/>
      <c r="K129" s="355"/>
      <c r="L129" s="355"/>
      <c r="M129" s="446"/>
      <c r="N129" s="447"/>
      <c r="O129" s="443"/>
      <c r="P129" s="443"/>
      <c r="Q129" s="433"/>
      <c r="R129" s="433"/>
      <c r="S129" s="433"/>
      <c r="T129" s="433"/>
      <c r="U129" s="433"/>
      <c r="V129" s="433"/>
      <c r="W129" s="433"/>
      <c r="X129" s="433"/>
      <c r="Y129" s="390"/>
      <c r="Z129" s="390"/>
      <c r="AA129" s="390"/>
      <c r="AB129" s="390"/>
      <c r="AC129" s="469"/>
      <c r="AF129" s="355"/>
    </row>
    <row r="130" spans="1:33" s="401" customFormat="1" ht="13.5" thickBot="1" x14ac:dyDescent="0.25">
      <c r="A130" s="435"/>
      <c r="B130" s="433"/>
      <c r="C130" s="439"/>
      <c r="D130" s="554"/>
      <c r="E130" s="526"/>
      <c r="F130" s="560"/>
      <c r="G130" s="545"/>
      <c r="I130" s="448"/>
      <c r="J130" s="449"/>
      <c r="K130" s="355"/>
      <c r="L130" s="355"/>
      <c r="M130" s="355"/>
      <c r="N130" s="355"/>
      <c r="O130" s="443"/>
      <c r="P130" s="443"/>
      <c r="Q130" s="433"/>
      <c r="R130" s="433"/>
      <c r="S130" s="433"/>
      <c r="T130" s="433"/>
      <c r="U130" s="433"/>
      <c r="V130" s="433"/>
      <c r="W130" s="433"/>
      <c r="X130" s="433"/>
      <c r="Y130" s="390"/>
      <c r="Z130" s="390"/>
      <c r="AA130" s="451"/>
      <c r="AB130" s="390"/>
      <c r="AC130" s="469"/>
      <c r="AD130" s="355"/>
      <c r="AE130" s="355"/>
      <c r="AF130" s="355"/>
      <c r="AG130" s="459"/>
    </row>
    <row r="131" spans="1:33" s="401" customFormat="1" x14ac:dyDescent="0.2">
      <c r="A131" s="433"/>
      <c r="B131" s="433"/>
      <c r="C131" s="439"/>
      <c r="D131" s="559"/>
      <c r="E131" s="484"/>
      <c r="F131" s="560"/>
      <c r="G131" s="545"/>
      <c r="I131" s="448"/>
      <c r="J131" s="449"/>
      <c r="K131" s="355"/>
      <c r="L131" s="355"/>
      <c r="M131" s="355"/>
      <c r="N131" s="355"/>
      <c r="O131" s="443"/>
      <c r="P131" s="443"/>
      <c r="Q131" s="433"/>
      <c r="R131" s="433"/>
      <c r="S131" s="433"/>
      <c r="T131" s="433"/>
      <c r="U131" s="433"/>
      <c r="V131" s="433"/>
      <c r="W131" s="433"/>
      <c r="X131" s="433"/>
      <c r="Y131" s="390"/>
      <c r="Z131" s="390"/>
      <c r="AA131" s="451"/>
      <c r="AB131" s="390"/>
      <c r="AC131" s="469"/>
      <c r="AD131" s="402"/>
      <c r="AE131" s="355"/>
      <c r="AF131" s="355"/>
    </row>
    <row r="132" spans="1:33" s="401" customFormat="1" x14ac:dyDescent="0.2">
      <c r="A132" s="435"/>
      <c r="B132" s="433"/>
      <c r="C132" s="439"/>
      <c r="D132" s="555"/>
      <c r="E132" s="484"/>
      <c r="F132" s="560"/>
      <c r="G132" s="545"/>
      <c r="I132" s="448"/>
      <c r="J132" s="449"/>
      <c r="K132" s="375"/>
      <c r="L132" s="375"/>
      <c r="M132" s="375"/>
      <c r="N132" s="375"/>
      <c r="O132" s="443"/>
      <c r="P132" s="443"/>
      <c r="Q132" s="433"/>
      <c r="R132" s="433"/>
      <c r="S132" s="433"/>
      <c r="T132" s="433"/>
      <c r="U132" s="433"/>
      <c r="V132" s="433"/>
      <c r="W132" s="433"/>
      <c r="X132" s="433"/>
      <c r="Y132" s="390"/>
      <c r="Z132" s="390"/>
      <c r="AA132" s="451"/>
      <c r="AB132" s="390"/>
      <c r="AC132" s="469"/>
      <c r="AF132" s="355"/>
      <c r="AG132" s="355"/>
    </row>
    <row r="133" spans="1:33" s="401" customFormat="1" x14ac:dyDescent="0.2">
      <c r="A133" s="433"/>
      <c r="B133" s="433"/>
      <c r="C133" s="439"/>
      <c r="D133" s="555"/>
      <c r="E133" s="484"/>
      <c r="F133" s="560"/>
      <c r="G133" s="545"/>
      <c r="I133" s="450"/>
      <c r="J133" s="449"/>
      <c r="K133" s="433"/>
      <c r="L133" s="433"/>
      <c r="M133" s="443"/>
      <c r="N133" s="443"/>
      <c r="O133" s="433"/>
      <c r="P133" s="433"/>
      <c r="Q133" s="433"/>
      <c r="R133" s="433"/>
      <c r="S133" s="433"/>
      <c r="T133" s="433"/>
      <c r="U133" s="433"/>
      <c r="V133" s="433"/>
      <c r="W133" s="433"/>
      <c r="X133" s="433"/>
      <c r="Y133" s="390"/>
      <c r="Z133" s="390"/>
      <c r="AA133" s="451"/>
      <c r="AB133" s="390"/>
      <c r="AC133" s="469"/>
      <c r="AD133" s="428"/>
      <c r="AE133" s="429"/>
      <c r="AF133" s="355"/>
      <c r="AG133" s="355"/>
    </row>
    <row r="134" spans="1:33" s="401" customFormat="1" x14ac:dyDescent="0.2">
      <c r="A134" s="435"/>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90"/>
      <c r="AA134" s="451"/>
      <c r="AB134" s="390"/>
      <c r="AC134" s="469"/>
      <c r="AD134" s="402"/>
      <c r="AE134" s="355"/>
      <c r="AF134" s="355"/>
      <c r="AG134" s="355"/>
    </row>
    <row r="135" spans="1:33" s="401" customFormat="1" x14ac:dyDescent="0.2">
      <c r="A135" s="433"/>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90"/>
      <c r="AA135" s="451"/>
      <c r="AB135" s="390"/>
      <c r="AC135" s="469"/>
      <c r="AD135" s="402"/>
      <c r="AE135" s="355"/>
      <c r="AF135" s="355"/>
    </row>
    <row r="136" spans="1:33" s="401" customFormat="1" x14ac:dyDescent="0.2">
      <c r="A136" s="435"/>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69"/>
      <c r="AA136" s="451"/>
      <c r="AB136" s="369"/>
      <c r="AC136" s="464"/>
      <c r="AD136" s="402"/>
      <c r="AE136" s="355"/>
      <c r="AF136" s="355"/>
    </row>
    <row r="137" spans="1:33" s="401" customFormat="1" x14ac:dyDescent="0.2">
      <c r="A137" s="433"/>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402"/>
      <c r="AE137" s="355"/>
      <c r="AF137" s="355"/>
    </row>
    <row r="138" spans="1:33" s="401" customFormat="1" x14ac:dyDescent="0.2">
      <c r="A138" s="435"/>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395"/>
      <c r="AE138" s="396"/>
      <c r="AF138" s="402"/>
    </row>
    <row r="139" spans="1:33" s="401" customFormat="1" x14ac:dyDescent="0.2">
      <c r="A139" s="433"/>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397"/>
      <c r="AE139" s="397"/>
      <c r="AF139" s="402"/>
    </row>
    <row r="140" spans="1:33" s="401" customFormat="1" x14ac:dyDescent="0.2">
      <c r="A140" s="435"/>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395"/>
      <c r="AE140" s="396"/>
      <c r="AF140" s="402"/>
    </row>
    <row r="141" spans="1:33" s="401" customFormat="1" x14ac:dyDescent="0.2">
      <c r="A141" s="433"/>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400"/>
      <c r="AE141" s="398"/>
      <c r="AF141" s="402"/>
    </row>
    <row r="142" spans="1:33" s="401" customFormat="1" x14ac:dyDescent="0.2">
      <c r="A142" s="435"/>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400"/>
      <c r="AE142" s="398"/>
      <c r="AF142" s="402"/>
    </row>
    <row r="143" spans="1:33" s="401" customFormat="1" x14ac:dyDescent="0.2">
      <c r="A143" s="433"/>
      <c r="B143" s="433"/>
      <c r="C143" s="439"/>
      <c r="D143" s="555"/>
      <c r="E143" s="484"/>
      <c r="F143" s="560"/>
      <c r="G143" s="545"/>
      <c r="I143" s="450"/>
      <c r="J143" s="449"/>
      <c r="K143" s="433"/>
      <c r="L143" s="433"/>
      <c r="M143" s="443"/>
      <c r="N143" s="443"/>
      <c r="O143" s="433"/>
      <c r="P143" s="433"/>
      <c r="Q143" s="433"/>
      <c r="R143" s="433"/>
      <c r="S143" s="433"/>
      <c r="T143" s="433"/>
      <c r="U143" s="433"/>
      <c r="V143" s="433"/>
      <c r="W143" s="433"/>
      <c r="X143" s="433"/>
      <c r="Y143" s="390"/>
      <c r="Z143" s="369"/>
      <c r="AA143" s="451"/>
      <c r="AB143" s="369"/>
      <c r="AC143" s="464"/>
      <c r="AD143" s="400"/>
      <c r="AE143" s="412"/>
      <c r="AF143" s="402"/>
    </row>
    <row r="144" spans="1:33" s="401" customFormat="1" x14ac:dyDescent="0.2">
      <c r="A144" s="435"/>
      <c r="B144" s="433"/>
      <c r="C144" s="439"/>
      <c r="D144" s="555"/>
      <c r="E144" s="484"/>
      <c r="F144" s="560"/>
      <c r="G144" s="545"/>
      <c r="I144" s="450"/>
      <c r="J144" s="449"/>
      <c r="K144" s="433"/>
      <c r="L144" s="433"/>
      <c r="M144" s="443"/>
      <c r="N144" s="443"/>
      <c r="O144" s="433"/>
      <c r="P144" s="433"/>
      <c r="Q144" s="433"/>
      <c r="R144" s="433"/>
      <c r="S144" s="433"/>
      <c r="T144" s="433"/>
      <c r="U144" s="433"/>
      <c r="V144" s="433"/>
      <c r="W144" s="433"/>
      <c r="X144" s="433"/>
      <c r="Y144" s="390"/>
      <c r="Z144" s="369"/>
      <c r="AA144" s="451"/>
      <c r="AB144" s="369"/>
      <c r="AC144" s="464"/>
      <c r="AD144" s="400"/>
      <c r="AE144" s="413"/>
      <c r="AF144" s="355"/>
    </row>
    <row r="145" spans="1:32" s="401" customFormat="1" x14ac:dyDescent="0.2">
      <c r="A145" s="433"/>
      <c r="B145" s="433"/>
      <c r="C145" s="439"/>
      <c r="D145" s="555"/>
      <c r="E145" s="484"/>
      <c r="F145" s="560"/>
      <c r="G145" s="545"/>
      <c r="I145" s="450"/>
      <c r="J145" s="449"/>
      <c r="K145" s="433"/>
      <c r="L145" s="433"/>
      <c r="M145" s="443"/>
      <c r="N145" s="443"/>
      <c r="O145" s="433"/>
      <c r="P145" s="433"/>
      <c r="Q145" s="433"/>
      <c r="R145" s="433"/>
      <c r="S145" s="433"/>
      <c r="T145" s="433"/>
      <c r="U145" s="433"/>
      <c r="V145" s="433"/>
      <c r="W145" s="433"/>
      <c r="X145" s="433"/>
      <c r="Y145" s="390"/>
      <c r="Z145" s="369"/>
      <c r="AA145" s="451"/>
      <c r="AB145" s="369"/>
      <c r="AC145" s="464"/>
      <c r="AD145" s="395"/>
      <c r="AE145" s="396"/>
      <c r="AF145" s="355"/>
    </row>
    <row r="146" spans="1:32" s="401" customFormat="1" x14ac:dyDescent="0.2">
      <c r="A146" s="435"/>
      <c r="B146" s="433"/>
      <c r="C146" s="439"/>
      <c r="D146" s="555"/>
      <c r="E146" s="484"/>
      <c r="F146" s="560"/>
      <c r="G146" s="545"/>
      <c r="I146" s="450"/>
      <c r="J146" s="449"/>
      <c r="K146" s="433"/>
      <c r="L146" s="433"/>
      <c r="M146" s="443"/>
      <c r="N146" s="443"/>
      <c r="O146" s="433"/>
      <c r="R146" s="433"/>
      <c r="S146" s="433"/>
      <c r="T146" s="433"/>
      <c r="U146" s="433"/>
      <c r="V146" s="433"/>
      <c r="W146" s="433"/>
      <c r="X146" s="433"/>
      <c r="Y146" s="390"/>
      <c r="Z146" s="369"/>
      <c r="AA146" s="451"/>
      <c r="AB146" s="369"/>
      <c r="AC146" s="464"/>
      <c r="AD146" s="395"/>
      <c r="AE146" s="396"/>
      <c r="AF146" s="397"/>
    </row>
    <row r="147" spans="1:32" s="401" customFormat="1" x14ac:dyDescent="0.2">
      <c r="A147" s="433"/>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80"/>
      <c r="AE147" s="380"/>
      <c r="AF147" s="395"/>
    </row>
    <row r="148" spans="1:32" s="401" customFormat="1" x14ac:dyDescent="0.2">
      <c r="A148" s="435"/>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69"/>
      <c r="AE148" s="369"/>
      <c r="AF148" s="395"/>
    </row>
    <row r="149" spans="1:32" s="401" customFormat="1" x14ac:dyDescent="0.2">
      <c r="A149" s="433"/>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81"/>
      <c r="AE149" s="381"/>
      <c r="AF149" s="393"/>
    </row>
    <row r="150" spans="1:32" s="401" customFormat="1" x14ac:dyDescent="0.2">
      <c r="A150" s="435"/>
      <c r="B150" s="433"/>
      <c r="C150" s="439"/>
      <c r="D150" s="555"/>
      <c r="E150" s="484"/>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1"/>
      <c r="AE150" s="381"/>
      <c r="AF150" s="366"/>
    </row>
    <row r="151" spans="1:32" s="401" customFormat="1" x14ac:dyDescent="0.2">
      <c r="A151" s="433"/>
      <c r="B151" s="433"/>
      <c r="C151" s="439"/>
      <c r="D151" s="555"/>
      <c r="E151" s="484"/>
      <c r="F151" s="560"/>
      <c r="G151" s="545"/>
      <c r="I151" s="450"/>
      <c r="J151" s="449"/>
      <c r="K151" s="433"/>
      <c r="L151" s="433"/>
      <c r="M151" s="443"/>
      <c r="N151" s="443"/>
      <c r="O151" s="433"/>
      <c r="R151" s="433"/>
      <c r="S151" s="433"/>
      <c r="T151" s="433"/>
      <c r="U151" s="433"/>
      <c r="V151" s="433"/>
      <c r="W151" s="433"/>
      <c r="X151" s="433"/>
      <c r="Y151" s="390"/>
      <c r="Z151" s="369"/>
      <c r="AA151" s="451"/>
      <c r="AB151" s="369"/>
      <c r="AC151" s="464"/>
      <c r="AD151" s="369"/>
      <c r="AE151" s="369"/>
      <c r="AF151" s="366"/>
    </row>
    <row r="152" spans="1:32" s="401" customFormat="1" x14ac:dyDescent="0.2">
      <c r="A152" s="435"/>
      <c r="B152" s="433"/>
      <c r="C152" s="439"/>
      <c r="D152" s="555"/>
      <c r="E152" s="484"/>
      <c r="F152" s="560"/>
      <c r="G152" s="545"/>
      <c r="I152" s="450"/>
      <c r="J152" s="449"/>
      <c r="K152" s="433"/>
      <c r="L152" s="433"/>
      <c r="M152" s="443"/>
      <c r="N152" s="443"/>
      <c r="O152" s="433"/>
      <c r="R152" s="433"/>
      <c r="S152" s="433"/>
      <c r="T152" s="433"/>
      <c r="U152" s="433"/>
      <c r="V152" s="433"/>
      <c r="W152" s="433"/>
      <c r="X152" s="433"/>
      <c r="Y152" s="390"/>
      <c r="Z152" s="369"/>
      <c r="AA152" s="451"/>
      <c r="AB152" s="369"/>
      <c r="AC152" s="464"/>
      <c r="AD152" s="369"/>
      <c r="AE152" s="369"/>
      <c r="AF152" s="366"/>
    </row>
    <row r="153" spans="1:32" s="401" customFormat="1" x14ac:dyDescent="0.2">
      <c r="A153" s="435"/>
      <c r="B153" s="433"/>
      <c r="C153" s="439"/>
      <c r="D153" s="555"/>
      <c r="E153" s="526"/>
      <c r="F153" s="560"/>
      <c r="G153" s="545"/>
      <c r="I153" s="450"/>
      <c r="J153" s="449"/>
      <c r="K153" s="433"/>
      <c r="L153" s="433"/>
      <c r="M153" s="443"/>
      <c r="N153" s="443"/>
      <c r="O153" s="433"/>
      <c r="R153" s="433"/>
      <c r="S153" s="433"/>
      <c r="T153" s="433"/>
      <c r="U153" s="433"/>
      <c r="V153" s="433"/>
      <c r="W153" s="433"/>
      <c r="X153" s="433"/>
      <c r="Y153" s="390"/>
      <c r="Z153" s="369"/>
      <c r="AA153" s="451"/>
      <c r="AB153" s="369"/>
      <c r="AC153" s="464"/>
      <c r="AD153" s="382"/>
      <c r="AE153" s="382"/>
      <c r="AF153" s="373"/>
    </row>
    <row r="154" spans="1:32" s="401" customFormat="1" x14ac:dyDescent="0.2">
      <c r="A154" s="369"/>
      <c r="B154" s="433"/>
      <c r="C154" s="439"/>
      <c r="D154" s="555"/>
      <c r="E154" s="480"/>
      <c r="F154" s="560"/>
      <c r="G154" s="545"/>
      <c r="H154" s="440"/>
      <c r="I154" s="450"/>
      <c r="J154" s="449"/>
      <c r="K154" s="433"/>
      <c r="L154" s="433"/>
      <c r="M154" s="443"/>
      <c r="N154" s="443"/>
      <c r="O154" s="433"/>
      <c r="R154" s="433"/>
      <c r="S154" s="433"/>
      <c r="T154" s="433"/>
      <c r="U154" s="433"/>
      <c r="V154" s="433"/>
      <c r="W154" s="433"/>
      <c r="X154" s="433"/>
      <c r="Y154" s="369"/>
      <c r="Z154" s="369"/>
      <c r="AA154" s="369"/>
      <c r="AB154" s="369"/>
      <c r="AC154" s="464"/>
      <c r="AD154" s="383"/>
      <c r="AE154" s="383"/>
      <c r="AF154" s="373"/>
    </row>
    <row r="155" spans="1:32" s="401" customFormat="1" x14ac:dyDescent="0.2">
      <c r="A155" s="369"/>
      <c r="B155" s="369"/>
      <c r="C155" s="369"/>
      <c r="D155" s="551"/>
      <c r="E155" s="483"/>
      <c r="F155" s="369"/>
      <c r="G155" s="369"/>
      <c r="H155" s="392"/>
      <c r="I155" s="369"/>
      <c r="J155" s="369"/>
      <c r="K155" s="369"/>
      <c r="L155" s="369"/>
      <c r="M155" s="384"/>
      <c r="N155" s="384"/>
      <c r="O155" s="369"/>
      <c r="R155" s="369"/>
      <c r="S155" s="369"/>
      <c r="T155" s="369"/>
      <c r="U155" s="369"/>
      <c r="V155" s="369"/>
      <c r="W155" s="369"/>
      <c r="X155" s="369"/>
      <c r="Y155" s="369"/>
      <c r="Z155" s="369"/>
      <c r="AA155" s="369"/>
      <c r="AB155" s="369"/>
      <c r="AC155" s="464"/>
      <c r="AD155" s="383"/>
      <c r="AE155" s="383"/>
      <c r="AF155" s="373"/>
    </row>
    <row r="156" spans="1:32" s="401" customFormat="1" x14ac:dyDescent="0.2">
      <c r="A156" s="369"/>
      <c r="B156" s="369"/>
      <c r="C156" s="369"/>
      <c r="D156" s="369"/>
      <c r="E156" s="369"/>
      <c r="F156" s="369"/>
      <c r="G156" s="369"/>
      <c r="H156" s="369"/>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78"/>
    </row>
    <row r="157" spans="1:32" s="401" customFormat="1" x14ac:dyDescent="0.2">
      <c r="A157" s="369"/>
      <c r="B157" s="369"/>
      <c r="C157" s="369"/>
      <c r="D157" s="369"/>
      <c r="E157" s="369"/>
      <c r="F157" s="369"/>
      <c r="G157" s="369"/>
      <c r="H157" s="369"/>
      <c r="I157" s="369"/>
      <c r="J157" s="369"/>
      <c r="K157" s="369"/>
      <c r="L157" s="369"/>
      <c r="M157" s="384"/>
      <c r="N157" s="384"/>
      <c r="O157" s="369"/>
      <c r="R157" s="369"/>
      <c r="S157" s="369"/>
      <c r="T157" s="369"/>
      <c r="U157" s="369"/>
      <c r="V157" s="369"/>
      <c r="W157" s="369"/>
      <c r="X157" s="369"/>
      <c r="Y157" s="369"/>
      <c r="Z157" s="369"/>
      <c r="AA157" s="369"/>
      <c r="AB157" s="369"/>
      <c r="AC157" s="464"/>
      <c r="AD157" s="383"/>
      <c r="AE157" s="383"/>
      <c r="AF157" s="380"/>
    </row>
    <row r="158" spans="1:32" s="401" customFormat="1" x14ac:dyDescent="0.2">
      <c r="A158" s="369"/>
      <c r="B158" s="369"/>
      <c r="C158" s="369"/>
      <c r="D158" s="369"/>
      <c r="E158" s="369"/>
      <c r="F158" s="369"/>
      <c r="G158" s="369"/>
      <c r="H158" s="369"/>
      <c r="I158" s="369"/>
      <c r="J158" s="369"/>
      <c r="K158" s="369"/>
      <c r="L158" s="369"/>
      <c r="M158" s="384"/>
      <c r="N158" s="384"/>
      <c r="O158" s="369"/>
      <c r="R158" s="369"/>
      <c r="S158" s="369"/>
      <c r="T158" s="369"/>
      <c r="U158" s="369"/>
      <c r="V158" s="369"/>
      <c r="W158" s="369"/>
      <c r="X158" s="369"/>
      <c r="Y158" s="369"/>
      <c r="Z158" s="369"/>
      <c r="AA158" s="369"/>
      <c r="AB158" s="369"/>
      <c r="AC158" s="464"/>
      <c r="AD158" s="383"/>
      <c r="AE158" s="383"/>
      <c r="AF158" s="369"/>
    </row>
    <row r="159" spans="1:32" s="401" customFormat="1" x14ac:dyDescent="0.2">
      <c r="A159" s="369"/>
      <c r="B159" s="369"/>
      <c r="C159" s="369"/>
      <c r="D159" s="369"/>
      <c r="E159" s="369"/>
      <c r="F159" s="369"/>
      <c r="G159" s="369"/>
      <c r="H159" s="369"/>
      <c r="I159" s="369"/>
      <c r="J159" s="369"/>
      <c r="K159" s="369"/>
      <c r="L159" s="369"/>
      <c r="M159" s="384"/>
      <c r="N159" s="384"/>
      <c r="O159" s="369"/>
      <c r="R159" s="369"/>
      <c r="S159" s="369"/>
      <c r="T159" s="369"/>
      <c r="U159" s="369"/>
      <c r="V159" s="369"/>
      <c r="W159" s="369"/>
      <c r="X159" s="369"/>
      <c r="Y159" s="369"/>
      <c r="Z159" s="369"/>
      <c r="AA159" s="369"/>
      <c r="AB159" s="369"/>
      <c r="AC159" s="464"/>
      <c r="AD159" s="383"/>
      <c r="AE159" s="383"/>
      <c r="AF159" s="381"/>
    </row>
    <row r="160" spans="1:32" s="401" customFormat="1" x14ac:dyDescent="0.2">
      <c r="A160" s="369"/>
      <c r="B160" s="369"/>
      <c r="C160" s="369"/>
      <c r="D160" s="369"/>
      <c r="E160" s="369"/>
      <c r="F160" s="369"/>
      <c r="G160" s="369"/>
      <c r="H160" s="369"/>
      <c r="I160" s="369"/>
      <c r="L160" s="369"/>
      <c r="M160" s="384"/>
      <c r="N160" s="384"/>
      <c r="O160" s="369"/>
      <c r="R160" s="369"/>
      <c r="S160" s="369"/>
      <c r="T160" s="369"/>
      <c r="U160" s="369"/>
      <c r="V160" s="369"/>
      <c r="W160" s="369"/>
      <c r="X160" s="369"/>
      <c r="Y160" s="369"/>
      <c r="Z160" s="369"/>
      <c r="AA160" s="369"/>
      <c r="AB160" s="369"/>
      <c r="AC160" s="464"/>
      <c r="AD160" s="383"/>
      <c r="AE160" s="383"/>
      <c r="AF160" s="381"/>
    </row>
    <row r="161" spans="1:32" s="401" customFormat="1" x14ac:dyDescent="0.2">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6"/>
      <c r="AE161" s="386"/>
      <c r="AF161" s="369"/>
    </row>
    <row r="162" spans="1:32" s="401" customFormat="1" x14ac:dyDescent="0.2">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7"/>
      <c r="AE162" s="387"/>
      <c r="AF162" s="382"/>
    </row>
    <row r="163" spans="1:32" s="401" customFormat="1" x14ac:dyDescent="0.2">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87"/>
      <c r="AF163" s="383"/>
    </row>
    <row r="164" spans="1:32" s="401" customFormat="1" x14ac:dyDescent="0.2">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87"/>
      <c r="AF164" s="383"/>
    </row>
    <row r="165" spans="1:32" s="401" customFormat="1" x14ac:dyDescent="0.2">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87"/>
      <c r="AF165" s="383"/>
    </row>
    <row r="166" spans="1:32" s="401" customFormat="1" x14ac:dyDescent="0.2">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90"/>
      <c r="AF166" s="383"/>
    </row>
    <row r="167" spans="1:32" s="401" customFormat="1" x14ac:dyDescent="0.2">
      <c r="A167" s="369"/>
      <c r="B167" s="369"/>
      <c r="C167" s="369"/>
      <c r="D167" s="369"/>
      <c r="E167" s="369"/>
      <c r="F167" s="369"/>
      <c r="G167" s="369"/>
      <c r="H167" s="369"/>
      <c r="I167" s="369"/>
      <c r="L167" s="369"/>
      <c r="M167" s="384"/>
      <c r="N167" s="384"/>
      <c r="O167" s="369"/>
      <c r="R167" s="369"/>
      <c r="S167" s="369"/>
      <c r="T167" s="369"/>
      <c r="U167" s="369"/>
      <c r="V167" s="369"/>
      <c r="W167" s="369"/>
      <c r="X167" s="369"/>
      <c r="Y167" s="369"/>
      <c r="Z167" s="369"/>
      <c r="AA167" s="369"/>
      <c r="AB167" s="369"/>
      <c r="AC167" s="464"/>
      <c r="AD167" s="387"/>
      <c r="AE167" s="390"/>
      <c r="AF167" s="383"/>
    </row>
    <row r="168" spans="1:32" s="401" customFormat="1" x14ac:dyDescent="0.2">
      <c r="A168" s="369"/>
      <c r="B168" s="369"/>
      <c r="C168" s="369"/>
      <c r="D168" s="369"/>
      <c r="E168" s="369"/>
      <c r="F168" s="369"/>
      <c r="G168" s="369"/>
      <c r="H168" s="369"/>
      <c r="I168" s="369"/>
      <c r="L168" s="369"/>
      <c r="M168" s="384"/>
      <c r="N168" s="384"/>
      <c r="O168" s="369"/>
      <c r="R168" s="369"/>
      <c r="S168" s="369"/>
      <c r="T168" s="369"/>
      <c r="U168" s="369"/>
      <c r="V168" s="369"/>
      <c r="W168" s="369"/>
      <c r="X168" s="369"/>
      <c r="Y168" s="369"/>
      <c r="Z168" s="369"/>
      <c r="AA168" s="369"/>
      <c r="AB168" s="369"/>
      <c r="AC168" s="464"/>
      <c r="AD168" s="387"/>
      <c r="AE168" s="390"/>
      <c r="AF168" s="383"/>
    </row>
    <row r="169" spans="1:32" s="401" customFormat="1" x14ac:dyDescent="0.2">
      <c r="A169" s="369"/>
      <c r="B169" s="369"/>
      <c r="C169" s="369"/>
      <c r="D169" s="369"/>
      <c r="E169" s="369"/>
      <c r="F169" s="369"/>
      <c r="G169" s="369"/>
      <c r="H169" s="369"/>
      <c r="I169" s="369"/>
      <c r="L169" s="369"/>
      <c r="M169" s="384"/>
      <c r="N169" s="384"/>
      <c r="O169" s="369"/>
      <c r="R169" s="369"/>
      <c r="S169" s="369"/>
      <c r="T169" s="369"/>
      <c r="U169" s="369"/>
      <c r="V169" s="369"/>
      <c r="W169" s="369"/>
      <c r="X169" s="369"/>
      <c r="Y169" s="369"/>
      <c r="Z169" s="369"/>
      <c r="AA169" s="369"/>
      <c r="AB169" s="369"/>
      <c r="AC169" s="464"/>
      <c r="AD169" s="387"/>
      <c r="AE169" s="390"/>
      <c r="AF169" s="383"/>
    </row>
    <row r="170" spans="1:32" s="401" customFormat="1" x14ac:dyDescent="0.2">
      <c r="A170" s="369"/>
      <c r="B170" s="369"/>
      <c r="C170" s="369"/>
      <c r="D170" s="369"/>
      <c r="E170" s="369"/>
      <c r="F170" s="369"/>
      <c r="G170" s="369"/>
      <c r="H170" s="369"/>
      <c r="I170" s="369"/>
      <c r="L170" s="369"/>
      <c r="M170" s="384"/>
      <c r="N170" s="384"/>
      <c r="O170" s="369"/>
      <c r="P170" s="369"/>
      <c r="Q170" s="369"/>
      <c r="R170" s="369"/>
      <c r="S170" s="369"/>
      <c r="T170" s="369"/>
      <c r="U170" s="369"/>
      <c r="V170" s="369"/>
      <c r="W170" s="369"/>
      <c r="X170" s="369"/>
      <c r="Y170" s="369"/>
      <c r="Z170" s="369"/>
      <c r="AA170" s="369"/>
      <c r="AB170" s="369"/>
      <c r="AC170" s="464"/>
      <c r="AD170" s="387"/>
      <c r="AE170" s="390"/>
      <c r="AF170" s="385"/>
    </row>
    <row r="171" spans="1:32" s="401" customFormat="1" x14ac:dyDescent="0.2">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90"/>
      <c r="AE171" s="390"/>
      <c r="AF171" s="387"/>
    </row>
    <row r="172" spans="1:32" s="401" customFormat="1" x14ac:dyDescent="0.2">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7"/>
    </row>
    <row r="173" spans="1:32" s="401" customFormat="1" x14ac:dyDescent="0.2">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90"/>
      <c r="AE173" s="390"/>
      <c r="AF173" s="387"/>
    </row>
    <row r="174" spans="1:32" s="401" customFormat="1" x14ac:dyDescent="0.2">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90"/>
      <c r="AE174" s="390"/>
      <c r="AF174" s="387"/>
    </row>
    <row r="175" spans="1:32" s="401" customFormat="1" x14ac:dyDescent="0.2">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90"/>
      <c r="AE175" s="390"/>
      <c r="AF175" s="388"/>
    </row>
    <row r="176" spans="1:32" s="401" customFormat="1" x14ac:dyDescent="0.2">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88"/>
      <c r="AE176" s="389"/>
      <c r="AF176" s="383"/>
    </row>
    <row r="177" spans="1:32" s="401" customFormat="1" x14ac:dyDescent="0.2">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8"/>
      <c r="AF177" s="385"/>
    </row>
    <row r="178" spans="1:32" s="401" customFormat="1" x14ac:dyDescent="0.2">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91"/>
      <c r="AF178" s="387"/>
    </row>
    <row r="179" spans="1:32" s="401" customFormat="1" x14ac:dyDescent="0.2">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89"/>
      <c r="AF179" s="387"/>
    </row>
    <row r="180" spans="1:32" s="401" customFormat="1" x14ac:dyDescent="0.2">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89"/>
      <c r="AF180" s="387"/>
    </row>
    <row r="181" spans="1:32" s="401" customFormat="1" x14ac:dyDescent="0.2">
      <c r="A181" s="369"/>
      <c r="B181" s="369"/>
      <c r="C181" s="369"/>
      <c r="D181" s="369"/>
      <c r="E181" s="369"/>
      <c r="F181" s="369"/>
      <c r="G181" s="369"/>
      <c r="H181" s="369"/>
      <c r="I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
      <c r="A182" s="369"/>
      <c r="B182" s="369"/>
      <c r="C182" s="369"/>
      <c r="D182" s="369"/>
      <c r="E182" s="369"/>
      <c r="F182" s="369"/>
      <c r="G182" s="369"/>
      <c r="H182" s="369"/>
      <c r="I182" s="369"/>
      <c r="L182" s="369"/>
      <c r="M182" s="384"/>
      <c r="N182" s="384"/>
      <c r="O182" s="369"/>
      <c r="P182" s="369"/>
      <c r="Q182" s="369"/>
      <c r="R182" s="369"/>
      <c r="S182" s="369"/>
      <c r="T182" s="369"/>
      <c r="U182" s="369"/>
      <c r="V182" s="369"/>
      <c r="W182" s="369"/>
      <c r="X182" s="369"/>
      <c r="Y182" s="369"/>
      <c r="Z182" s="369"/>
      <c r="AA182" s="369"/>
      <c r="AB182" s="369"/>
      <c r="AC182" s="464"/>
      <c r="AD182" s="388"/>
      <c r="AE182" s="388"/>
      <c r="AF182" s="387"/>
    </row>
    <row r="183" spans="1:32" s="401" customFormat="1" x14ac:dyDescent="0.2">
      <c r="A183" s="369"/>
      <c r="B183" s="369"/>
      <c r="C183" s="369"/>
      <c r="D183" s="369"/>
      <c r="E183" s="369"/>
      <c r="F183" s="369"/>
      <c r="G183" s="369"/>
      <c r="H183" s="369"/>
      <c r="I183" s="369"/>
      <c r="L183" s="369"/>
      <c r="M183" s="384"/>
      <c r="N183" s="384"/>
      <c r="O183" s="369"/>
      <c r="P183" s="369"/>
      <c r="Q183" s="369"/>
      <c r="R183" s="369"/>
      <c r="S183" s="369"/>
      <c r="T183" s="369"/>
      <c r="U183" s="369"/>
      <c r="V183" s="369"/>
      <c r="W183" s="369"/>
      <c r="X183" s="369"/>
      <c r="Y183" s="369"/>
      <c r="Z183" s="369"/>
      <c r="AA183" s="369"/>
      <c r="AB183" s="369"/>
      <c r="AC183" s="464"/>
      <c r="AD183" s="388"/>
      <c r="AE183" s="391"/>
      <c r="AF183" s="387"/>
    </row>
    <row r="184" spans="1:32" s="401" customFormat="1" x14ac:dyDescent="0.2">
      <c r="A184" s="369"/>
      <c r="B184" s="369"/>
      <c r="C184" s="369"/>
      <c r="D184" s="369"/>
      <c r="E184" s="369"/>
      <c r="F184" s="369"/>
      <c r="G184" s="369"/>
      <c r="H184" s="369"/>
      <c r="I184" s="369"/>
      <c r="J184" s="369"/>
      <c r="K184" s="369"/>
      <c r="L184" s="369"/>
      <c r="M184" s="384"/>
      <c r="N184" s="384"/>
      <c r="O184" s="369"/>
      <c r="P184" s="369"/>
      <c r="Q184" s="369"/>
      <c r="R184" s="369"/>
      <c r="S184" s="369"/>
      <c r="T184" s="369"/>
      <c r="U184" s="369"/>
      <c r="V184" s="369"/>
      <c r="W184" s="369"/>
      <c r="X184" s="369"/>
      <c r="Y184" s="369"/>
      <c r="Z184" s="369"/>
      <c r="AA184" s="369"/>
      <c r="AB184" s="369"/>
      <c r="AC184" s="464"/>
      <c r="AD184" s="388"/>
      <c r="AE184" s="389"/>
      <c r="AF184" s="387"/>
    </row>
    <row r="185" spans="1:32" s="401" customFormat="1" x14ac:dyDescent="0.2">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90"/>
      <c r="AE185" s="388"/>
      <c r="AF185" s="387"/>
    </row>
    <row r="186" spans="1:32" s="401" customFormat="1" x14ac:dyDescent="0.2">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90"/>
      <c r="AE186" s="388"/>
      <c r="AF186" s="387"/>
    </row>
    <row r="187" spans="1:32" s="401" customFormat="1" ht="12.75" customHeight="1" x14ac:dyDescent="0.2">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90"/>
      <c r="AE187" s="388"/>
      <c r="AF187" s="390"/>
    </row>
    <row r="188" spans="1:32" s="401" customFormat="1" x14ac:dyDescent="0.2">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69"/>
      <c r="AE188" s="373"/>
      <c r="AF188" s="390"/>
    </row>
    <row r="189" spans="1:32" s="401" customFormat="1" x14ac:dyDescent="0.2">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90"/>
    </row>
    <row r="193" spans="1:32" s="401" customFormat="1" x14ac:dyDescent="0.2">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90"/>
    </row>
    <row r="194" spans="1:32" s="401" customFormat="1" x14ac:dyDescent="0.2">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90"/>
    </row>
    <row r="195" spans="1:32" s="401" customFormat="1" x14ac:dyDescent="0.2">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69"/>
    </row>
    <row r="196" spans="1:32" s="401" customFormat="1" x14ac:dyDescent="0.2">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x14ac:dyDescent="0.2">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ht="12" customHeight="1" x14ac:dyDescent="0.2">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401" customFormat="1" ht="12" customHeight="1" x14ac:dyDescent="0.2">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row>
    <row r="215" spans="1:33" s="401" customFormat="1" ht="12" customHeight="1" x14ac:dyDescent="0.2">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row>
    <row r="216" spans="1:33" s="401" customFormat="1" ht="12" customHeight="1" x14ac:dyDescent="0.2">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row>
    <row r="217" spans="1:33" s="355" customFormat="1" x14ac:dyDescent="0.2">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c r="AG217" s="401"/>
    </row>
    <row r="218" spans="1:33" s="355" customFormat="1" x14ac:dyDescent="0.2">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c r="AG224" s="401"/>
    </row>
    <row r="225" spans="1:33" s="355" customFormat="1" x14ac:dyDescent="0.2">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c r="AG225" s="401"/>
    </row>
    <row r="226" spans="1:33" s="355" customFormat="1" x14ac:dyDescent="0.2">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c r="AG226" s="401"/>
    </row>
    <row r="227" spans="1:33" s="355" customFormat="1" x14ac:dyDescent="0.2">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row>
    <row r="228" spans="1:33" s="355" customFormat="1" x14ac:dyDescent="0.2">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3" s="355" customFormat="1" x14ac:dyDescent="0.2">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3" s="355" customFormat="1" x14ac:dyDescent="0.2">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3" s="355" customFormat="1" x14ac:dyDescent="0.2">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3" s="355" customFormat="1" x14ac:dyDescent="0.2">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3" s="355" customFormat="1" x14ac:dyDescent="0.2">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3" s="355" customFormat="1" x14ac:dyDescent="0.2">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3" s="355" customFormat="1" x14ac:dyDescent="0.2">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3" s="355" customFormat="1" x14ac:dyDescent="0.2">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3" s="355" customFormat="1" x14ac:dyDescent="0.2">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3" s="355" customFormat="1" x14ac:dyDescent="0.2">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3" s="355" customFormat="1" x14ac:dyDescent="0.2">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3" s="355" customFormat="1" x14ac:dyDescent="0.2">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row>
    <row r="242" spans="1:34" s="355" customFormat="1" x14ac:dyDescent="0.2">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row>
    <row r="243" spans="1:34" s="355" customFormat="1" x14ac:dyDescent="0.2">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row>
    <row r="244" spans="1:34" s="355" customFormat="1" x14ac:dyDescent="0.2">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c r="AH244" s="397"/>
    </row>
    <row r="245" spans="1:34" s="355" customFormat="1" x14ac:dyDescent="0.2">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G245" s="402"/>
      <c r="AH245" s="397"/>
    </row>
    <row r="246" spans="1:34" s="355" customFormat="1" x14ac:dyDescent="0.2">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G246" s="402"/>
      <c r="AH246" s="399"/>
    </row>
    <row r="247" spans="1:34" s="355" customFormat="1" x14ac:dyDescent="0.2">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402"/>
      <c r="AH247" s="397"/>
    </row>
    <row r="248" spans="1:34" s="355" customFormat="1" ht="14.25" customHeight="1" x14ac:dyDescent="0.2">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G248" s="402"/>
      <c r="AH248" s="396"/>
    </row>
    <row r="249" spans="1:34" s="355" customFormat="1" x14ac:dyDescent="0.2">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H249" s="396"/>
    </row>
    <row r="250" spans="1:34" s="403" customFormat="1" ht="12" customHeight="1" x14ac:dyDescent="0.2">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G250" s="355"/>
      <c r="AH250" s="397"/>
    </row>
    <row r="251" spans="1:34" s="355" customFormat="1" x14ac:dyDescent="0.2">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H251" s="397"/>
    </row>
    <row r="252" spans="1:34" s="355" customFormat="1" ht="17.25" customHeight="1" x14ac:dyDescent="0.2">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H252" s="397"/>
    </row>
    <row r="253" spans="1:34" s="355" customFormat="1" x14ac:dyDescent="0.2">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H253" s="387"/>
    </row>
    <row r="254" spans="1:34" s="355" customFormat="1" x14ac:dyDescent="0.2">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G254" s="396"/>
      <c r="AH254" s="368"/>
    </row>
    <row r="255" spans="1:34" s="355" customFormat="1" x14ac:dyDescent="0.2">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96"/>
      <c r="AH255" s="368"/>
    </row>
    <row r="256" spans="1:34" s="355" customFormat="1" ht="13.5" customHeight="1" x14ac:dyDescent="0.2">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94"/>
      <c r="AH256" s="369"/>
    </row>
    <row r="257" spans="1:34" s="355" customFormat="1" x14ac:dyDescent="0.2">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67"/>
      <c r="AH257" s="369"/>
    </row>
    <row r="258" spans="1:34" s="355" customFormat="1" x14ac:dyDescent="0.2">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67"/>
      <c r="AH258" s="369"/>
    </row>
    <row r="259" spans="1:34" s="355" customFormat="1" x14ac:dyDescent="0.2">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67"/>
      <c r="AH259" s="369"/>
    </row>
    <row r="260" spans="1:34" s="355" customFormat="1" x14ac:dyDescent="0.2">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74"/>
      <c r="AH260" s="376"/>
    </row>
    <row r="261" spans="1:34" s="355" customFormat="1" ht="15.75" customHeight="1" x14ac:dyDescent="0.2">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74"/>
      <c r="AH261" s="380"/>
    </row>
    <row r="262" spans="1:34" s="355" customFormat="1" ht="15.75" customHeight="1" x14ac:dyDescent="0.2">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74"/>
      <c r="AH262" s="369"/>
    </row>
    <row r="263" spans="1:34" s="355" customFormat="1" ht="12.75" customHeight="1" x14ac:dyDescent="0.2">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79"/>
      <c r="AH263" s="381"/>
    </row>
    <row r="264" spans="1:34" s="355" customFormat="1" x14ac:dyDescent="0.2">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80"/>
      <c r="AH264" s="381"/>
    </row>
    <row r="265" spans="1:34" s="355" customFormat="1" x14ac:dyDescent="0.2">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69"/>
      <c r="AH265" s="369"/>
    </row>
    <row r="266" spans="1:34" s="355" customFormat="1" x14ac:dyDescent="0.2">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81"/>
      <c r="AH266" s="382"/>
    </row>
    <row r="267" spans="1:34" s="355" customFormat="1" x14ac:dyDescent="0.2">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1"/>
      <c r="AH267" s="383"/>
    </row>
    <row r="268" spans="1:34" s="355" customFormat="1" x14ac:dyDescent="0.2">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69"/>
      <c r="AH268" s="383"/>
    </row>
    <row r="269" spans="1:34" s="355" customFormat="1" ht="14.25" customHeight="1" x14ac:dyDescent="0.2">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82"/>
      <c r="AH269" s="383"/>
    </row>
    <row r="270" spans="1:34" s="355" customFormat="1" x14ac:dyDescent="0.2">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3"/>
      <c r="AH270" s="383"/>
    </row>
    <row r="271" spans="1:34" s="355" customFormat="1" x14ac:dyDescent="0.2">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c r="AH271" s="383"/>
    </row>
    <row r="272" spans="1:34" s="375" customFormat="1" x14ac:dyDescent="0.2">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c r="AH272" s="383"/>
    </row>
    <row r="273" spans="1:33" s="375" customFormat="1" ht="12" customHeight="1" x14ac:dyDescent="0.2">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row>
    <row r="274" spans="1:33" s="375" customFormat="1" x14ac:dyDescent="0.2">
      <c r="A274" s="369"/>
      <c r="B274" s="369"/>
      <c r="C274" s="369"/>
      <c r="D274" s="369"/>
      <c r="E274" s="369"/>
      <c r="F274" s="369"/>
      <c r="G274" s="369"/>
      <c r="H274" s="369"/>
      <c r="I274" s="369"/>
      <c r="J274" s="369"/>
      <c r="K274" s="369"/>
      <c r="L274" s="369"/>
      <c r="M274" s="384"/>
      <c r="N274" s="384"/>
      <c r="O274" s="369"/>
      <c r="P274" s="369"/>
      <c r="Q274" s="369"/>
      <c r="R274" s="369"/>
      <c r="S274" s="369"/>
      <c r="T274" s="369"/>
      <c r="U274" s="369"/>
      <c r="V274" s="369"/>
      <c r="W274" s="369"/>
      <c r="X274" s="369"/>
      <c r="Y274" s="369"/>
      <c r="Z274" s="369"/>
      <c r="AA274" s="369"/>
      <c r="AB274" s="369"/>
      <c r="AC274" s="464"/>
      <c r="AD274" s="369"/>
      <c r="AE274" s="373"/>
      <c r="AF274" s="369"/>
      <c r="AG274" s="383"/>
    </row>
    <row r="275" spans="1:33" s="376" customFormat="1" ht="11.25" customHeight="1" x14ac:dyDescent="0.2">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3"/>
    </row>
    <row r="276" spans="1:33" s="380" customFormat="1" x14ac:dyDescent="0.2">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3"/>
    </row>
    <row r="277" spans="1:33" x14ac:dyDescent="0.2">
      <c r="AG277" s="385"/>
    </row>
    <row r="278" spans="1:33" s="381" customFormat="1" x14ac:dyDescent="0.2">
      <c r="A278" s="369"/>
      <c r="B278" s="369"/>
      <c r="C278" s="369"/>
      <c r="D278" s="369"/>
      <c r="E278" s="369"/>
      <c r="F278" s="369"/>
      <c r="G278" s="369"/>
      <c r="H278" s="369"/>
      <c r="I278" s="369"/>
      <c r="J278" s="369"/>
      <c r="K278" s="369"/>
      <c r="L278" s="369"/>
      <c r="M278" s="384"/>
      <c r="N278" s="384"/>
      <c r="O278" s="369"/>
      <c r="P278" s="369"/>
      <c r="Q278" s="369"/>
      <c r="R278" s="369"/>
      <c r="S278" s="369"/>
      <c r="T278" s="369"/>
      <c r="U278" s="369"/>
      <c r="V278" s="369"/>
      <c r="W278" s="369"/>
      <c r="X278" s="369"/>
      <c r="Y278" s="369"/>
      <c r="Z278" s="369"/>
      <c r="AA278" s="369"/>
      <c r="AB278" s="369"/>
      <c r="AC278" s="464"/>
      <c r="AD278" s="369"/>
      <c r="AE278" s="373"/>
      <c r="AF278" s="369"/>
      <c r="AG278" s="387"/>
    </row>
    <row r="279" spans="1:33" s="381" customFormat="1" x14ac:dyDescent="0.2">
      <c r="A279" s="369"/>
      <c r="B279" s="369"/>
      <c r="C279" s="369"/>
      <c r="D279" s="369"/>
      <c r="E279" s="369"/>
      <c r="F279" s="369"/>
      <c r="G279" s="369"/>
      <c r="H279" s="369"/>
      <c r="I279" s="369"/>
      <c r="J279" s="369"/>
      <c r="K279" s="369"/>
      <c r="L279" s="369"/>
      <c r="M279" s="384"/>
      <c r="N279" s="384"/>
      <c r="O279" s="369"/>
      <c r="P279" s="369"/>
      <c r="Q279" s="369"/>
      <c r="R279" s="369"/>
      <c r="S279" s="369"/>
      <c r="T279" s="369"/>
      <c r="U279" s="369"/>
      <c r="V279" s="369"/>
      <c r="W279" s="369"/>
      <c r="X279" s="369"/>
      <c r="Y279" s="369"/>
      <c r="Z279" s="369"/>
      <c r="AA279" s="369"/>
      <c r="AB279" s="369"/>
      <c r="AC279" s="464"/>
      <c r="AD279" s="369"/>
      <c r="AE279" s="373"/>
      <c r="AF279" s="369"/>
      <c r="AG279" s="387"/>
    </row>
    <row r="280" spans="1:33" x14ac:dyDescent="0.2">
      <c r="AG280" s="387"/>
    </row>
    <row r="281" spans="1:33" x14ac:dyDescent="0.2">
      <c r="AG281" s="387"/>
    </row>
    <row r="282" spans="1:33" s="384" customFormat="1" x14ac:dyDescent="0.2">
      <c r="A282" s="369"/>
      <c r="B282" s="369"/>
      <c r="C282" s="369"/>
      <c r="D282" s="369"/>
      <c r="E282" s="369"/>
      <c r="F282" s="369"/>
      <c r="G282" s="369"/>
      <c r="H282" s="369"/>
      <c r="I282" s="369"/>
      <c r="J282" s="369"/>
      <c r="K282" s="369"/>
      <c r="L282" s="369"/>
      <c r="O282" s="369"/>
      <c r="P282" s="369"/>
      <c r="Q282" s="369"/>
      <c r="R282" s="369"/>
      <c r="S282" s="369"/>
      <c r="T282" s="369"/>
      <c r="U282" s="369"/>
      <c r="V282" s="369"/>
      <c r="W282" s="369"/>
      <c r="X282" s="369"/>
      <c r="Y282" s="369"/>
      <c r="Z282" s="369"/>
      <c r="AA282" s="369"/>
      <c r="AB282" s="369"/>
      <c r="AC282" s="464"/>
      <c r="AD282" s="369"/>
      <c r="AE282" s="373"/>
      <c r="AF282" s="369"/>
      <c r="AG282" s="389"/>
    </row>
    <row r="283" spans="1:33" s="384" customFormat="1" x14ac:dyDescent="0.2">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75"/>
    </row>
    <row r="284" spans="1:33" s="384" customFormat="1" x14ac:dyDescent="0.2">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75"/>
    </row>
    <row r="285" spans="1:33" s="384" customFormat="1" x14ac:dyDescent="0.2">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76"/>
    </row>
    <row r="286" spans="1:33" s="384" customFormat="1" x14ac:dyDescent="0.2">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80"/>
    </row>
    <row r="287" spans="1:33" s="384" customFormat="1" x14ac:dyDescent="0.2">
      <c r="A287" s="369"/>
      <c r="B287" s="369"/>
      <c r="C287" s="369"/>
      <c r="D287" s="369"/>
      <c r="E287" s="369"/>
      <c r="F287" s="369"/>
      <c r="G287" s="369"/>
      <c r="H287" s="369"/>
      <c r="I287" s="369"/>
      <c r="J287" s="369"/>
      <c r="K287" s="369"/>
      <c r="L287" s="369"/>
      <c r="O287" s="369"/>
      <c r="P287" s="369"/>
      <c r="Q287" s="369"/>
      <c r="R287" s="369"/>
      <c r="S287" s="369"/>
      <c r="T287" s="369"/>
      <c r="U287" s="369"/>
      <c r="V287" s="369"/>
      <c r="W287" s="369"/>
      <c r="X287" s="369"/>
      <c r="Y287" s="369"/>
      <c r="Z287" s="369"/>
      <c r="AA287" s="369"/>
      <c r="AB287" s="369"/>
      <c r="AC287" s="464"/>
      <c r="AD287" s="369"/>
      <c r="AE287" s="373"/>
      <c r="AF287" s="369"/>
      <c r="AG287" s="369"/>
    </row>
    <row r="288" spans="1:33" s="384" customFormat="1" x14ac:dyDescent="0.2">
      <c r="A288" s="369"/>
      <c r="B288" s="369"/>
      <c r="C288" s="369"/>
      <c r="D288" s="369"/>
      <c r="E288" s="369"/>
      <c r="F288" s="369"/>
      <c r="G288" s="369"/>
      <c r="H288" s="369"/>
      <c r="I288" s="369"/>
      <c r="J288" s="369"/>
      <c r="K288" s="369"/>
      <c r="L288" s="369"/>
      <c r="O288" s="369"/>
      <c r="P288" s="369"/>
      <c r="Q288" s="369"/>
      <c r="R288" s="369"/>
      <c r="S288" s="369"/>
      <c r="T288" s="369"/>
      <c r="U288" s="369"/>
      <c r="V288" s="369"/>
      <c r="W288" s="369"/>
      <c r="X288" s="369"/>
      <c r="Y288" s="369"/>
      <c r="Z288" s="369"/>
      <c r="AA288" s="369"/>
      <c r="AB288" s="369"/>
      <c r="AC288" s="464"/>
      <c r="AD288" s="369"/>
      <c r="AE288" s="373"/>
      <c r="AF288" s="369"/>
      <c r="AG288" s="381"/>
    </row>
    <row r="289" spans="1:33" s="384" customFormat="1" x14ac:dyDescent="0.2">
      <c r="A289" s="369"/>
      <c r="B289" s="369"/>
      <c r="C289" s="369"/>
      <c r="D289" s="369"/>
      <c r="E289" s="369"/>
      <c r="F289" s="369"/>
      <c r="G289" s="369"/>
      <c r="H289" s="369"/>
      <c r="I289" s="369"/>
      <c r="J289" s="369"/>
      <c r="K289" s="369"/>
      <c r="L289" s="369"/>
      <c r="O289" s="369"/>
      <c r="P289" s="369"/>
      <c r="Q289" s="369"/>
      <c r="R289" s="369"/>
      <c r="S289" s="369"/>
      <c r="T289" s="369"/>
      <c r="U289" s="369"/>
      <c r="V289" s="369"/>
      <c r="W289" s="369"/>
      <c r="X289" s="369"/>
      <c r="Y289" s="369"/>
      <c r="Z289" s="369"/>
      <c r="AA289" s="369"/>
      <c r="AB289" s="369"/>
      <c r="AC289" s="464"/>
      <c r="AD289" s="369"/>
      <c r="AE289" s="373"/>
      <c r="AF289" s="369"/>
      <c r="AG289" s="381"/>
    </row>
    <row r="291" spans="1:33" s="382" customFormat="1" x14ac:dyDescent="0.2">
      <c r="A291" s="369"/>
      <c r="B291" s="369"/>
      <c r="C291" s="369"/>
      <c r="D291" s="369"/>
      <c r="E291" s="369"/>
      <c r="F291" s="369"/>
      <c r="G291" s="369"/>
      <c r="H291" s="369"/>
      <c r="I291" s="369"/>
      <c r="J291" s="369"/>
      <c r="K291" s="369"/>
      <c r="L291" s="369"/>
      <c r="M291" s="384"/>
      <c r="N291" s="384"/>
      <c r="O291" s="369"/>
      <c r="P291" s="369"/>
      <c r="Q291" s="369"/>
      <c r="R291" s="369"/>
      <c r="S291" s="369"/>
      <c r="T291" s="369"/>
      <c r="U291" s="369"/>
      <c r="V291" s="369"/>
      <c r="W291" s="369"/>
      <c r="X291" s="369"/>
      <c r="Y291" s="369"/>
      <c r="Z291" s="369"/>
      <c r="AA291" s="369"/>
      <c r="AB291" s="369"/>
      <c r="AC291" s="464"/>
      <c r="AD291" s="369"/>
      <c r="AE291" s="373"/>
      <c r="AF291" s="369"/>
      <c r="AG291" s="369"/>
    </row>
    <row r="292" spans="1:33" s="383" customFormat="1" x14ac:dyDescent="0.2">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84"/>
    </row>
    <row r="293" spans="1:33" s="383" customFormat="1" x14ac:dyDescent="0.2">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3" customFormat="1" x14ac:dyDescent="0.2">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3" customFormat="1" x14ac:dyDescent="0.2">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84"/>
    </row>
    <row r="298" spans="1:33" s="383" customFormat="1" x14ac:dyDescent="0.2">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4"/>
    </row>
    <row r="299" spans="1:33" s="386" customFormat="1" x14ac:dyDescent="0.2">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4"/>
    </row>
    <row r="300" spans="1:33" s="387" customFormat="1" ht="12.75" customHeight="1" x14ac:dyDescent="0.2">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69"/>
    </row>
    <row r="301" spans="1:33" s="387" customFormat="1" ht="12.75" customHeight="1" x14ac:dyDescent="0.2">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82"/>
    </row>
    <row r="302" spans="1:33" s="387" customFormat="1" ht="12.75" customHeight="1" x14ac:dyDescent="0.2">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3"/>
    </row>
    <row r="303" spans="1:33" s="387" customFormat="1" ht="12.75" customHeight="1" x14ac:dyDescent="0.2">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87" customFormat="1" ht="12.75" customHeight="1" x14ac:dyDescent="0.2">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3"/>
    </row>
    <row r="307" spans="1:33" s="387" customFormat="1" ht="12.75" customHeight="1" x14ac:dyDescent="0.2">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3"/>
    </row>
    <row r="308" spans="1:33" s="387" customFormat="1" ht="12.75" customHeight="1" x14ac:dyDescent="0.2">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3"/>
    </row>
    <row r="309" spans="1:33" s="390" customFormat="1" x14ac:dyDescent="0.2">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6"/>
    </row>
    <row r="310" spans="1:33" s="390" customFormat="1" x14ac:dyDescent="0.2">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7"/>
    </row>
    <row r="311" spans="1:33" s="390" customFormat="1" x14ac:dyDescent="0.2">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s="390" customFormat="1" x14ac:dyDescent="0.2">
      <c r="A314" s="369"/>
      <c r="B314" s="369"/>
      <c r="C314" s="369"/>
      <c r="D314" s="369"/>
      <c r="E314" s="369"/>
      <c r="F314" s="369"/>
      <c r="G314" s="369"/>
      <c r="H314" s="369"/>
      <c r="I314" s="369"/>
      <c r="J314" s="369"/>
      <c r="K314" s="369"/>
      <c r="L314" s="369"/>
      <c r="M314" s="384"/>
      <c r="N314" s="384"/>
      <c r="O314" s="369"/>
      <c r="P314" s="369"/>
      <c r="Q314" s="369"/>
      <c r="R314" s="369"/>
      <c r="S314" s="369"/>
      <c r="T314" s="369"/>
      <c r="U314" s="369"/>
      <c r="V314" s="369"/>
      <c r="W314" s="369"/>
      <c r="X314" s="369"/>
      <c r="Y314" s="369"/>
      <c r="Z314" s="369"/>
      <c r="AA314" s="369"/>
      <c r="AB314" s="369"/>
      <c r="AC314" s="464"/>
      <c r="AD314" s="369"/>
      <c r="AE314" s="373"/>
      <c r="AF314" s="369"/>
      <c r="AG314" s="387"/>
    </row>
    <row r="315" spans="1:33" s="390" customFormat="1" x14ac:dyDescent="0.2">
      <c r="A315" s="369"/>
      <c r="B315" s="369"/>
      <c r="C315" s="369"/>
      <c r="D315" s="369"/>
      <c r="E315" s="369"/>
      <c r="F315" s="369"/>
      <c r="G315" s="369"/>
      <c r="H315" s="369"/>
      <c r="I315" s="369"/>
      <c r="J315" s="369"/>
      <c r="K315" s="369"/>
      <c r="L315" s="369"/>
      <c r="M315" s="384"/>
      <c r="N315" s="384"/>
      <c r="O315" s="369"/>
      <c r="P315" s="369"/>
      <c r="Q315" s="369"/>
      <c r="R315" s="369"/>
      <c r="S315" s="369"/>
      <c r="T315" s="369"/>
      <c r="U315" s="369"/>
      <c r="V315" s="369"/>
      <c r="W315" s="369"/>
      <c r="X315" s="369"/>
      <c r="Y315" s="369"/>
      <c r="Z315" s="369"/>
      <c r="AA315" s="369"/>
      <c r="AB315" s="369"/>
      <c r="AC315" s="464"/>
      <c r="AD315" s="369"/>
      <c r="AE315" s="373"/>
      <c r="AF315" s="369"/>
      <c r="AG315" s="387"/>
    </row>
    <row r="316" spans="1:33" s="390" customFormat="1" x14ac:dyDescent="0.2">
      <c r="A316" s="369"/>
      <c r="B316" s="369"/>
      <c r="C316" s="369"/>
      <c r="D316" s="369"/>
      <c r="E316" s="369"/>
      <c r="F316" s="369"/>
      <c r="G316" s="369"/>
      <c r="H316" s="369"/>
      <c r="I316" s="369"/>
      <c r="J316" s="369"/>
      <c r="K316" s="369"/>
      <c r="L316" s="369"/>
      <c r="M316" s="384"/>
      <c r="N316" s="384"/>
      <c r="O316" s="369"/>
      <c r="P316" s="369"/>
      <c r="Q316" s="369"/>
      <c r="R316" s="369"/>
      <c r="S316" s="369"/>
      <c r="T316" s="369"/>
      <c r="U316" s="369"/>
      <c r="V316" s="369"/>
      <c r="W316" s="369"/>
      <c r="X316" s="369"/>
      <c r="Y316" s="369"/>
      <c r="Z316" s="369"/>
      <c r="AA316" s="369"/>
      <c r="AB316" s="369"/>
      <c r="AC316" s="464"/>
      <c r="AD316" s="369"/>
      <c r="AE316" s="373"/>
      <c r="AF316" s="369"/>
      <c r="AG316" s="387"/>
    </row>
    <row r="317" spans="1:33" x14ac:dyDescent="0.2">
      <c r="AG317" s="387"/>
    </row>
    <row r="318" spans="1:33" x14ac:dyDescent="0.2">
      <c r="AG318" s="387"/>
    </row>
    <row r="319" spans="1:33" x14ac:dyDescent="0.2">
      <c r="AG319" s="390"/>
    </row>
    <row r="320" spans="1:33" x14ac:dyDescent="0.2">
      <c r="AG320" s="390"/>
    </row>
    <row r="321" spans="33:33" x14ac:dyDescent="0.2">
      <c r="AG321" s="390"/>
    </row>
    <row r="322" spans="33:33" x14ac:dyDescent="0.2">
      <c r="AG322" s="390"/>
    </row>
    <row r="323" spans="33:33" x14ac:dyDescent="0.2">
      <c r="AG323" s="390"/>
    </row>
    <row r="324" spans="33:33" x14ac:dyDescent="0.2">
      <c r="AG324" s="390"/>
    </row>
    <row r="325" spans="33:33" x14ac:dyDescent="0.2">
      <c r="AG325" s="390"/>
    </row>
    <row r="326" spans="33:33" x14ac:dyDescent="0.2">
      <c r="AG326"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8"/>
      <c r="C1" s="2" t="str">
        <f xml:space="preserve"> "MUST be updated DAILY"</f>
        <v>MUST be updated DAILY</v>
      </c>
    </row>
    <row r="2" spans="1:8" x14ac:dyDescent="0.2">
      <c r="B2" s="229"/>
      <c r="C2" s="2" t="str">
        <f xml:space="preserve"> "MAY be updated DAILY"</f>
        <v>MAY be updated DAILY</v>
      </c>
    </row>
    <row r="3" spans="1:8" x14ac:dyDescent="0.2">
      <c r="B3" s="230"/>
      <c r="C3" s="2" t="str">
        <f xml:space="preserve"> "MUST be updated MONTHLY"</f>
        <v>MUST be updated MONTHLY</v>
      </c>
    </row>
    <row r="5" spans="1:8" x14ac:dyDescent="0.2">
      <c r="A5" s="1" t="s">
        <v>68</v>
      </c>
      <c r="E5" s="1" t="s">
        <v>69</v>
      </c>
    </row>
    <row r="6" spans="1:8" x14ac:dyDescent="0.2">
      <c r="A6" s="2" t="s">
        <v>70</v>
      </c>
      <c r="C6" s="231">
        <v>1.4550000000000001</v>
      </c>
      <c r="E6" s="2" t="s">
        <v>71</v>
      </c>
      <c r="G6" s="231">
        <v>1.5149999999999999</v>
      </c>
    </row>
    <row r="7" spans="1:8" x14ac:dyDescent="0.2">
      <c r="A7" s="2" t="s">
        <v>72</v>
      </c>
      <c r="C7" s="232">
        <f>J49</f>
        <v>2.09</v>
      </c>
      <c r="E7" s="2" t="s">
        <v>73</v>
      </c>
      <c r="G7" s="232">
        <f>K49</f>
        <v>1.96</v>
      </c>
    </row>
    <row r="8" spans="1:8" x14ac:dyDescent="0.2">
      <c r="A8" s="2" t="s">
        <v>74</v>
      </c>
      <c r="C8" s="232">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3" t="s">
        <v>57</v>
      </c>
      <c r="C12" s="234">
        <v>1</v>
      </c>
      <c r="D12" s="234">
        <v>0</v>
      </c>
      <c r="E12" s="32">
        <f ca="1">-INDEX(Economics!$A$34:$D$45,MATCH(B12,Economics!$A$34:$A$45,0),4)/F12</f>
        <v>18646.263830741627</v>
      </c>
      <c r="F12" s="33">
        <f>(D12*$C$6)+(C12*$C$7)</f>
        <v>2.09</v>
      </c>
      <c r="G12" s="32">
        <f ca="1">E12*F12</f>
        <v>38970.69140625</v>
      </c>
      <c r="H12" s="33"/>
    </row>
    <row r="13" spans="1:8" x14ac:dyDescent="0.2">
      <c r="B13" s="233" t="s">
        <v>56</v>
      </c>
      <c r="C13" s="234">
        <v>1</v>
      </c>
      <c r="D13" s="234">
        <v>0</v>
      </c>
      <c r="E13" s="32">
        <f ca="1">-INDEX(Economics!$A$34:$D$45,MATCH(Fuel!B13,Economics!$A$34:$A$45,0),4)/Fuel!F13</f>
        <v>0</v>
      </c>
      <c r="F13" s="33">
        <f>(D13*$C$6)+(C13*$C$7)</f>
        <v>2.09</v>
      </c>
      <c r="G13" s="32">
        <f ca="1">E13*F13</f>
        <v>0</v>
      </c>
      <c r="H13" s="33"/>
    </row>
    <row r="14" spans="1:8" x14ac:dyDescent="0.2">
      <c r="B14" s="233" t="s">
        <v>55</v>
      </c>
      <c r="C14" s="234">
        <v>1</v>
      </c>
      <c r="D14" s="234">
        <v>0</v>
      </c>
      <c r="E14" s="32">
        <f ca="1">-INDEX(Economics!$A$34:$D$45,MATCH(Fuel!B14,Economics!$A$34:$A$45,0),4)/Fuel!F14</f>
        <v>0</v>
      </c>
      <c r="F14" s="33">
        <f>(D14*$C$6)+(C14*$C$7)</f>
        <v>2.09</v>
      </c>
      <c r="G14" s="32">
        <f ca="1">E14*F14</f>
        <v>0</v>
      </c>
      <c r="H14" s="33"/>
    </row>
    <row r="15" spans="1:8" x14ac:dyDescent="0.2">
      <c r="B15" s="235" t="s">
        <v>18</v>
      </c>
      <c r="E15" s="34">
        <f ca="1">SUM(E12:E14)</f>
        <v>18646.263830741627</v>
      </c>
      <c r="F15" s="35"/>
      <c r="G15" s="34">
        <f ca="1">SUM(G12:G14)</f>
        <v>38970.69140625</v>
      </c>
      <c r="H15" s="33"/>
    </row>
    <row r="16" spans="1:8" x14ac:dyDescent="0.2">
      <c r="E16" s="32"/>
      <c r="F16" s="33"/>
      <c r="G16" s="33"/>
      <c r="H16" s="33"/>
    </row>
    <row r="17" spans="1:12" x14ac:dyDescent="0.2">
      <c r="A17" s="2" t="s">
        <v>83</v>
      </c>
      <c r="F17" s="33"/>
      <c r="G17" s="33"/>
      <c r="H17" s="33"/>
    </row>
    <row r="18" spans="1:12" x14ac:dyDescent="0.2">
      <c r="B18" s="2" t="s">
        <v>54</v>
      </c>
      <c r="C18" s="234">
        <v>1</v>
      </c>
      <c r="D18" s="234">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6" t="s">
        <v>84</v>
      </c>
      <c r="J20" s="237"/>
      <c r="K20" s="237"/>
      <c r="L20" s="238"/>
    </row>
    <row r="21" spans="1:12" x14ac:dyDescent="0.2">
      <c r="A21" s="2" t="s">
        <v>85</v>
      </c>
      <c r="E21" s="32"/>
      <c r="F21" s="33"/>
      <c r="I21" s="239" t="s">
        <v>86</v>
      </c>
      <c r="J21" s="240" t="s">
        <v>87</v>
      </c>
      <c r="K21" s="240"/>
      <c r="L21" s="241"/>
    </row>
    <row r="22" spans="1:12" x14ac:dyDescent="0.2">
      <c r="B22" s="233" t="s">
        <v>53</v>
      </c>
      <c r="C22" s="234">
        <v>1</v>
      </c>
      <c r="D22" s="234">
        <v>0</v>
      </c>
      <c r="E22" s="32">
        <f ca="1">-INDEX(Economics!$A$34:$D$45,MATCH(Fuel!B22,Economics!$A$34:$A$45,0),4)/Fuel!F22</f>
        <v>0</v>
      </c>
      <c r="F22" s="33">
        <f>IF($I$22=1,C22*$C$8,C22*$G$7)+IF($J$22=1,D22*$C$6,D22*$G$6)</f>
        <v>1.96</v>
      </c>
      <c r="G22" s="32">
        <f t="shared" ref="G22:G29" ca="1" si="0">F22*E22</f>
        <v>0</v>
      </c>
      <c r="I22" s="242">
        <f>IF(C8&lt;G7,1,0)</f>
        <v>0</v>
      </c>
      <c r="J22" s="242">
        <f>IF(C6&lt;G6,1,0)</f>
        <v>1</v>
      </c>
      <c r="K22" s="243"/>
      <c r="L22" s="244"/>
    </row>
    <row r="23" spans="1:12" x14ac:dyDescent="0.2">
      <c r="B23" s="233" t="s">
        <v>51</v>
      </c>
      <c r="C23" s="234">
        <v>1</v>
      </c>
      <c r="D23" s="234">
        <v>0</v>
      </c>
      <c r="E23" s="32">
        <f ca="1">-INDEX(Economics!$A$34:$D$45,MATCH(Fuel!B23,Economics!$A$34:$A$45,0),4)/Fuel!F23</f>
        <v>0</v>
      </c>
      <c r="F23" s="33">
        <f t="shared" ref="F23:F29" si="1">IF($I$22=1,C23*$C$8,C23*$G$7)+IF($J$22=1,D23*$C$6,D23*$G$6)</f>
        <v>1.96</v>
      </c>
      <c r="G23" s="32">
        <f t="shared" ca="1" si="0"/>
        <v>0</v>
      </c>
      <c r="I23" s="37"/>
      <c r="J23" s="37"/>
      <c r="K23" s="37"/>
    </row>
    <row r="24" spans="1:12" x14ac:dyDescent="0.2">
      <c r="B24" s="233" t="s">
        <v>52</v>
      </c>
      <c r="C24" s="234">
        <v>1</v>
      </c>
      <c r="D24" s="234">
        <v>0</v>
      </c>
      <c r="E24" s="32">
        <f ca="1">-INDEX(Economics!$A$34:$D$45,MATCH(Fuel!B24,Economics!$A$34:$A$45,0),4)/Fuel!F24</f>
        <v>14773.32688934949</v>
      </c>
      <c r="F24" s="33">
        <f t="shared" si="1"/>
        <v>1.96</v>
      </c>
      <c r="G24" s="32">
        <f t="shared" ca="1" si="0"/>
        <v>28955.720703125</v>
      </c>
      <c r="I24" s="31"/>
      <c r="J24" s="31"/>
      <c r="K24" s="31"/>
    </row>
    <row r="25" spans="1:12" x14ac:dyDescent="0.2">
      <c r="B25" s="233" t="s">
        <v>48</v>
      </c>
      <c r="C25" s="234">
        <v>1</v>
      </c>
      <c r="D25" s="234">
        <v>0</v>
      </c>
      <c r="E25" s="32">
        <f ca="1">-INDEX(Economics!$A$34:$D$45,MATCH(Fuel!B25,Economics!$A$34:$A$45,0),4)/Fuel!F25</f>
        <v>13060.994300063776</v>
      </c>
      <c r="F25" s="33">
        <f t="shared" si="1"/>
        <v>1.96</v>
      </c>
      <c r="G25" s="32">
        <f t="shared" ca="1" si="0"/>
        <v>25599.548828125</v>
      </c>
      <c r="I25" s="31"/>
      <c r="J25" s="31"/>
      <c r="K25" s="31"/>
    </row>
    <row r="26" spans="1:12" x14ac:dyDescent="0.2">
      <c r="B26" s="233" t="s">
        <v>47</v>
      </c>
      <c r="C26" s="234">
        <v>1</v>
      </c>
      <c r="D26" s="234">
        <v>0</v>
      </c>
      <c r="E26" s="32">
        <f ca="1">-INDEX(Economics!$A$34:$D$45,MATCH(Fuel!B26,Economics!$A$34:$A$45,0),4)/Fuel!F26</f>
        <v>9574.8445471938776</v>
      </c>
      <c r="F26" s="33">
        <f t="shared" si="1"/>
        <v>1.96</v>
      </c>
      <c r="G26" s="32">
        <f t="shared" ca="1" si="0"/>
        <v>18766.6953125</v>
      </c>
      <c r="I26" s="31"/>
      <c r="J26" s="31"/>
      <c r="K26" s="31"/>
    </row>
    <row r="27" spans="1:12" x14ac:dyDescent="0.2">
      <c r="B27" s="245" t="s">
        <v>46</v>
      </c>
      <c r="C27" s="234">
        <v>1</v>
      </c>
      <c r="D27" s="234">
        <v>0</v>
      </c>
      <c r="E27" s="32">
        <f ca="1">-INDEX(Economics!$A$34:$D$45,MATCH(Fuel!B27,Economics!$A$34:$A$45,0),4)/Fuel!F27</f>
        <v>0</v>
      </c>
      <c r="F27" s="33">
        <f t="shared" si="1"/>
        <v>1.96</v>
      </c>
      <c r="G27" s="32">
        <f t="shared" ca="1" si="0"/>
        <v>0</v>
      </c>
      <c r="I27" s="31"/>
      <c r="J27" s="31"/>
      <c r="K27" s="31"/>
    </row>
    <row r="28" spans="1:12" x14ac:dyDescent="0.2">
      <c r="B28" s="233" t="s">
        <v>49</v>
      </c>
      <c r="C28" s="234">
        <v>1</v>
      </c>
      <c r="D28" s="234">
        <v>0</v>
      </c>
      <c r="E28" s="32">
        <f ca="1">-INDEX(Economics!$A$34:$D$45,MATCH(Fuel!B28,Economics!$A$34:$A$45,0),4)/Fuel!F28</f>
        <v>0</v>
      </c>
      <c r="F28" s="33">
        <f t="shared" si="1"/>
        <v>1.96</v>
      </c>
      <c r="G28" s="32">
        <f t="shared" ca="1" si="0"/>
        <v>0</v>
      </c>
      <c r="I28" s="31"/>
      <c r="J28" s="31"/>
      <c r="K28" s="31"/>
    </row>
    <row r="29" spans="1:12" x14ac:dyDescent="0.2">
      <c r="B29" s="233" t="s">
        <v>50</v>
      </c>
      <c r="C29" s="234">
        <v>1</v>
      </c>
      <c r="D29" s="234">
        <v>0</v>
      </c>
      <c r="E29" s="32">
        <f ca="1">-INDEX(Economics!$A$34:$D$45,MATCH(Fuel!B29,Economics!$A$34:$A$45,0),4)/Fuel!F29</f>
        <v>2423.6240931919642</v>
      </c>
      <c r="F29" s="33">
        <f t="shared" si="1"/>
        <v>1.96</v>
      </c>
      <c r="G29" s="32">
        <f t="shared" ca="1" si="0"/>
        <v>4750.30322265625</v>
      </c>
      <c r="I29" s="31"/>
      <c r="J29" s="31"/>
      <c r="K29" s="31"/>
    </row>
    <row r="30" spans="1:12" x14ac:dyDescent="0.2">
      <c r="B30" s="235"/>
      <c r="C30" s="36"/>
      <c r="D30" s="36"/>
      <c r="E30" s="34">
        <f ca="1">SUM(E22:E29)</f>
        <v>39832.789829799112</v>
      </c>
      <c r="F30" s="35"/>
      <c r="G30" s="34">
        <f ca="1">SUM(G22:G29)</f>
        <v>78072.26806640625</v>
      </c>
      <c r="I30" s="31"/>
      <c r="J30" s="31"/>
      <c r="K30" s="31"/>
    </row>
    <row r="31" spans="1:12" x14ac:dyDescent="0.2">
      <c r="B31" s="235"/>
      <c r="I31" s="31"/>
      <c r="J31" s="31"/>
      <c r="K31" s="31"/>
    </row>
    <row r="32" spans="1:12" ht="13.5" thickBot="1" x14ac:dyDescent="0.25">
      <c r="B32" s="235" t="s">
        <v>18</v>
      </c>
      <c r="E32" s="7">
        <f ca="1">E15+E18+E30</f>
        <v>58479.05366054074</v>
      </c>
      <c r="F32" s="8"/>
      <c r="G32" s="7">
        <f ca="1">G15+G18+G30</f>
        <v>117042.95947265625</v>
      </c>
    </row>
    <row r="33" spans="1:11" ht="13.5" thickTop="1" x14ac:dyDescent="0.2"/>
    <row r="34" spans="1:11" x14ac:dyDescent="0.2">
      <c r="A34" s="9" t="s">
        <v>88</v>
      </c>
      <c r="H34" s="4"/>
    </row>
    <row r="35" spans="1:11" ht="27.75" customHeight="1" x14ac:dyDescent="0.2">
      <c r="A35" s="246"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
      <c r="A39" s="230" t="s">
        <v>99</v>
      </c>
      <c r="B39" s="235" t="s">
        <v>100</v>
      </c>
      <c r="C39" s="318">
        <v>2.09</v>
      </c>
      <c r="E39" s="248">
        <v>10000</v>
      </c>
      <c r="G39" s="248">
        <v>10000</v>
      </c>
      <c r="H39" s="248">
        <v>0</v>
      </c>
      <c r="J39" s="32">
        <f t="shared" si="2"/>
        <v>627000</v>
      </c>
      <c r="K39" s="32">
        <f t="shared" si="3"/>
        <v>0</v>
      </c>
    </row>
    <row r="40" spans="1:11" x14ac:dyDescent="0.2">
      <c r="A40" s="230" t="s">
        <v>101</v>
      </c>
      <c r="B40" s="235" t="s">
        <v>102</v>
      </c>
      <c r="C40" s="247">
        <v>2.09</v>
      </c>
      <c r="E40" s="248">
        <v>15050</v>
      </c>
      <c r="G40" s="248">
        <v>15050</v>
      </c>
      <c r="H40" s="248">
        <v>0</v>
      </c>
      <c r="J40" s="32">
        <f t="shared" si="2"/>
        <v>943634.99999999988</v>
      </c>
      <c r="K40" s="32">
        <f t="shared" si="3"/>
        <v>0</v>
      </c>
    </row>
    <row r="41" spans="1:11" x14ac:dyDescent="0.2">
      <c r="A41" s="230" t="s">
        <v>63</v>
      </c>
      <c r="B41" s="235" t="s">
        <v>102</v>
      </c>
      <c r="C41" s="247">
        <v>2.09</v>
      </c>
      <c r="E41" s="248">
        <v>10000</v>
      </c>
      <c r="G41" s="248">
        <v>10000</v>
      </c>
      <c r="H41" s="248">
        <v>0</v>
      </c>
      <c r="J41" s="32">
        <f t="shared" si="2"/>
        <v>627000</v>
      </c>
      <c r="K41" s="32">
        <f t="shared" si="3"/>
        <v>0</v>
      </c>
    </row>
    <row r="42" spans="1:11" x14ac:dyDescent="0.2">
      <c r="A42" s="230" t="s">
        <v>103</v>
      </c>
      <c r="B42" s="235" t="s">
        <v>104</v>
      </c>
      <c r="C42" s="247">
        <v>1.96</v>
      </c>
      <c r="E42" s="248">
        <v>56100</v>
      </c>
      <c r="G42" s="249">
        <v>0</v>
      </c>
      <c r="H42" s="249">
        <v>56100</v>
      </c>
      <c r="I42" s="13"/>
      <c r="J42" s="12">
        <f t="shared" si="2"/>
        <v>0</v>
      </c>
      <c r="K42" s="12">
        <f t="shared" si="3"/>
        <v>3298680</v>
      </c>
    </row>
    <row r="43" spans="1:11" ht="15" x14ac:dyDescent="0.35">
      <c r="A43" s="230" t="s">
        <v>105</v>
      </c>
      <c r="B43" s="235" t="s">
        <v>106</v>
      </c>
      <c r="C43" s="247"/>
      <c r="E43" s="248">
        <v>0</v>
      </c>
      <c r="G43" s="250">
        <v>0</v>
      </c>
      <c r="H43" s="250">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1"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2">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512925.3</v>
      </c>
      <c r="C3" s="117">
        <f ca="1">6.8*0.75*E3</f>
        <v>126372.9</v>
      </c>
      <c r="D3" s="117">
        <f ca="1">C3+B3</f>
        <v>639298.19999999995</v>
      </c>
      <c r="E3" s="118">
        <f ca="1">SUM(Preschedule!B59:Y59)</f>
        <v>24779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-2312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800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-13506.351040000001</v>
      </c>
      <c r="C28" s="120"/>
      <c r="D28" s="120">
        <f>C28+B28</f>
        <v>-13506.351040000001</v>
      </c>
      <c r="E28" s="114">
        <f>SUM(Preschedule!B56:Y56)</f>
        <v>1033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-29394.912</v>
      </c>
      <c r="C30" s="120"/>
      <c r="D30" s="120">
        <f>C30+B30</f>
        <v>-29394.912</v>
      </c>
      <c r="E30" s="114">
        <f>SUM(Preschedule!B53:Y53)</f>
        <v>4822</v>
      </c>
      <c r="F30" s="120">
        <f>H30*I30</f>
        <v>6.0960000000000001</v>
      </c>
      <c r="G30" s="79">
        <f>-IF(E30=0,0,D30/E30)</f>
        <v>6.0960000000000001</v>
      </c>
      <c r="H30" s="134">
        <v>10.16</v>
      </c>
      <c r="I30" s="135">
        <v>0.6</v>
      </c>
    </row>
    <row r="31" spans="1:9" x14ac:dyDescent="0.2">
      <c r="A31" s="83" t="s">
        <v>44</v>
      </c>
      <c r="B31" s="120">
        <f>-F31*E31</f>
        <v>-29394.912</v>
      </c>
      <c r="C31" s="120"/>
      <c r="D31" s="120">
        <f>C31+B31</f>
        <v>-29394.912</v>
      </c>
      <c r="E31" s="114">
        <f>SUM(Preschedule!B54:Y54)</f>
        <v>4822</v>
      </c>
      <c r="F31" s="120">
        <f>H31*I31</f>
        <v>6.0960000000000001</v>
      </c>
      <c r="G31" s="79">
        <f>-IF(E31=0,0,D31/E31)</f>
        <v>6.0960000000000001</v>
      </c>
      <c r="H31" s="134">
        <v>10.16</v>
      </c>
      <c r="I31" s="135">
        <v>0.6</v>
      </c>
    </row>
    <row r="32" spans="1:9" x14ac:dyDescent="0.2">
      <c r="A32" s="83" t="s">
        <v>45</v>
      </c>
      <c r="B32" s="120">
        <f>-F32*E32</f>
        <v>-29394.912</v>
      </c>
      <c r="C32" s="120"/>
      <c r="D32" s="120">
        <f>C32+B32</f>
        <v>-29394.912</v>
      </c>
      <c r="E32" s="114">
        <f>SUM(Preschedule!B55:Y55)</f>
        <v>4822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-18766.6953125</v>
      </c>
      <c r="C35" s="120"/>
      <c r="D35" s="120">
        <f t="shared" ref="D35:D45" ca="1" si="7">IF(ISTEXT(B35),0,C35+B35)</f>
        <v>-18766.6953125</v>
      </c>
      <c r="E35" s="114">
        <f>SUM(Preschedule!B42:Y42)</f>
        <v>886</v>
      </c>
      <c r="F35" s="120">
        <f t="shared" ref="F35:F45" ca="1" si="8">-IF(OR(ISTEXT(B35),E35=0),0,B35/E35)</f>
        <v>21.181371684537247</v>
      </c>
      <c r="G35" s="79">
        <f t="shared" ca="1" si="6"/>
        <v>21.181371684537247</v>
      </c>
      <c r="H35" s="136"/>
      <c r="I35" s="135">
        <v>1.96</v>
      </c>
    </row>
    <row r="36" spans="1:9" x14ac:dyDescent="0.2">
      <c r="A36" s="83" t="s">
        <v>48</v>
      </c>
      <c r="B36" s="120">
        <f ca="1">Gencost(Preschedule!B43:Y43,OFFSET(HeatRateStart,1,MATCH(A36,HeatRateNames,0)-1,250,1),I36)</f>
        <v>-25599.548828125</v>
      </c>
      <c r="C36" s="120"/>
      <c r="D36" s="120">
        <f t="shared" ca="1" si="7"/>
        <v>-25599.548828125</v>
      </c>
      <c r="E36" s="114">
        <f>SUM(Preschedule!B43:Y43)</f>
        <v>1245</v>
      </c>
      <c r="F36" s="120">
        <f t="shared" ca="1" si="8"/>
        <v>20.561886608935744</v>
      </c>
      <c r="G36" s="79">
        <f t="shared" ca="1" si="6"/>
        <v>20.561886608935744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x14ac:dyDescent="0.2">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-28955.720703125</v>
      </c>
      <c r="C40" s="120"/>
      <c r="D40" s="120">
        <f t="shared" ca="1" si="7"/>
        <v>-28955.720703125</v>
      </c>
      <c r="E40" s="114">
        <f>SUM(Preschedule!B47:Y47)</f>
        <v>1566</v>
      </c>
      <c r="F40" s="120">
        <f t="shared" ca="1" si="8"/>
        <v>18.490243105443806</v>
      </c>
      <c r="G40" s="79">
        <f t="shared" ca="1" si="6"/>
        <v>18.490243105443806</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-38970.69140625</v>
      </c>
      <c r="C45" s="120"/>
      <c r="D45" s="120">
        <f t="shared" ca="1" si="7"/>
        <v>-38970.69140625</v>
      </c>
      <c r="E45" s="114">
        <f>SUM(Preschedule!B52:Y52)</f>
        <v>1831</v>
      </c>
      <c r="F45" s="120">
        <f t="shared" ca="1" si="8"/>
        <v>21.283829277034407</v>
      </c>
      <c r="G45" s="79">
        <f t="shared" ca="1" si="6"/>
        <v>21.283829277034407</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4" t="s">
        <v>243</v>
      </c>
      <c r="B4" s="404" t="s">
        <v>246</v>
      </c>
      <c r="C4" s="405" t="s">
        <v>244</v>
      </c>
      <c r="D4" s="405" t="s">
        <v>245</v>
      </c>
    </row>
    <row r="5" spans="1:4" x14ac:dyDescent="0.2">
      <c r="A5" s="406"/>
      <c r="B5" s="455"/>
      <c r="C5" s="408"/>
      <c r="D5" s="408"/>
    </row>
    <row r="6" spans="1:4" x14ac:dyDescent="0.2">
      <c r="A6" s="406">
        <v>36592</v>
      </c>
      <c r="B6" s="407" t="s">
        <v>271</v>
      </c>
      <c r="C6" s="408" t="s">
        <v>270</v>
      </c>
      <c r="D6" s="408" t="s">
        <v>273</v>
      </c>
    </row>
    <row r="7" spans="1:4" x14ac:dyDescent="0.2">
      <c r="A7" s="409"/>
      <c r="B7" s="407" t="s">
        <v>272</v>
      </c>
      <c r="C7" s="408"/>
      <c r="D7" s="408" t="s">
        <v>274</v>
      </c>
    </row>
    <row r="8" spans="1:4" x14ac:dyDescent="0.2">
      <c r="A8" s="475"/>
      <c r="B8" s="407"/>
      <c r="C8" s="408"/>
      <c r="D8" s="408" t="s">
        <v>275</v>
      </c>
    </row>
    <row r="9" spans="1:4" x14ac:dyDescent="0.2">
      <c r="A9" s="409"/>
      <c r="B9" s="407"/>
      <c r="C9" s="408"/>
      <c r="D9" s="408"/>
    </row>
    <row r="10" spans="1:4" x14ac:dyDescent="0.2">
      <c r="A10" s="406">
        <v>36603</v>
      </c>
      <c r="B10" s="407" t="s">
        <v>276</v>
      </c>
      <c r="C10" s="408" t="s">
        <v>278</v>
      </c>
      <c r="D10" s="408" t="s">
        <v>284</v>
      </c>
    </row>
    <row r="11" spans="1:4" x14ac:dyDescent="0.2">
      <c r="A11" s="409"/>
      <c r="B11" s="407" t="s">
        <v>277</v>
      </c>
      <c r="C11" s="408"/>
      <c r="D11" s="408" t="s">
        <v>281</v>
      </c>
    </row>
    <row r="12" spans="1:4" x14ac:dyDescent="0.2">
      <c r="A12" s="409"/>
      <c r="B12" s="407"/>
      <c r="C12" s="408"/>
      <c r="D12" s="408" t="s">
        <v>279</v>
      </c>
    </row>
    <row r="13" spans="1:4" x14ac:dyDescent="0.2">
      <c r="A13" s="409"/>
      <c r="B13" s="407"/>
      <c r="C13" s="408"/>
      <c r="D13" s="408" t="s">
        <v>280</v>
      </c>
    </row>
    <row r="14" spans="1:4" x14ac:dyDescent="0.2">
      <c r="A14" s="409"/>
      <c r="B14" s="407"/>
      <c r="C14" s="408"/>
      <c r="D14" s="408"/>
    </row>
    <row r="15" spans="1:4" x14ac:dyDescent="0.2">
      <c r="A15" s="406">
        <v>36603</v>
      </c>
      <c r="B15" s="407" t="s">
        <v>282</v>
      </c>
      <c r="C15" s="408" t="s">
        <v>278</v>
      </c>
      <c r="D15" s="408" t="s">
        <v>285</v>
      </c>
    </row>
    <row r="16" spans="1:4" x14ac:dyDescent="0.2">
      <c r="A16" s="409"/>
      <c r="B16" s="407" t="s">
        <v>283</v>
      </c>
      <c r="C16" s="408"/>
      <c r="D16" s="408" t="s">
        <v>286</v>
      </c>
    </row>
    <row r="17" spans="1:4" x14ac:dyDescent="0.2">
      <c r="A17" s="475"/>
      <c r="B17" s="407"/>
      <c r="C17" s="408"/>
      <c r="D17" s="408" t="s">
        <v>288</v>
      </c>
    </row>
    <row r="18" spans="1:4" x14ac:dyDescent="0.2">
      <c r="A18" s="409"/>
      <c r="B18" s="407"/>
      <c r="C18" s="408"/>
      <c r="D18" s="408" t="s">
        <v>289</v>
      </c>
    </row>
    <row r="19" spans="1:4" x14ac:dyDescent="0.2">
      <c r="A19" s="409"/>
      <c r="B19" s="407"/>
      <c r="C19" s="408"/>
      <c r="D19" s="408" t="s">
        <v>287</v>
      </c>
    </row>
    <row r="20" spans="1:4" x14ac:dyDescent="0.2">
      <c r="A20" s="406">
        <v>36644</v>
      </c>
      <c r="B20" s="407" t="s">
        <v>292</v>
      </c>
      <c r="C20" s="408" t="s">
        <v>291</v>
      </c>
      <c r="D20" s="408" t="s">
        <v>290</v>
      </c>
    </row>
    <row r="21" spans="1:4" x14ac:dyDescent="0.2">
      <c r="A21" s="406"/>
      <c r="B21" s="407"/>
      <c r="C21" s="408"/>
      <c r="D21" s="408"/>
    </row>
    <row r="22" spans="1:4" x14ac:dyDescent="0.2">
      <c r="A22" s="406">
        <v>36730</v>
      </c>
      <c r="B22" s="407" t="s">
        <v>296</v>
      </c>
      <c r="C22" s="408" t="s">
        <v>297</v>
      </c>
      <c r="D22" s="408" t="s">
        <v>298</v>
      </c>
    </row>
    <row r="23" spans="1:4" x14ac:dyDescent="0.2">
      <c r="A23" s="409"/>
      <c r="B23" s="407"/>
      <c r="C23" s="408"/>
      <c r="D23" s="408"/>
    </row>
    <row r="24" spans="1:4" x14ac:dyDescent="0.2">
      <c r="A24" s="406">
        <v>36733</v>
      </c>
      <c r="B24" s="407" t="s">
        <v>299</v>
      </c>
      <c r="C24" s="408" t="s">
        <v>300</v>
      </c>
      <c r="D24" s="408" t="s">
        <v>301</v>
      </c>
    </row>
    <row r="25" spans="1:4" x14ac:dyDescent="0.2">
      <c r="A25" s="409"/>
      <c r="B25" s="407"/>
      <c r="C25" s="408"/>
      <c r="D25" s="408"/>
    </row>
    <row r="26" spans="1:4" x14ac:dyDescent="0.2">
      <c r="A26" s="406">
        <v>36733</v>
      </c>
      <c r="B26" s="407" t="s">
        <v>303</v>
      </c>
      <c r="C26" s="408" t="s">
        <v>300</v>
      </c>
      <c r="D26" s="408" t="s">
        <v>302</v>
      </c>
    </row>
    <row r="27" spans="1:4" x14ac:dyDescent="0.2">
      <c r="A27" s="409"/>
      <c r="B27" s="407"/>
      <c r="C27" s="408"/>
      <c r="D27" s="408"/>
    </row>
    <row r="28" spans="1:4" x14ac:dyDescent="0.2">
      <c r="A28" s="406">
        <v>36734</v>
      </c>
      <c r="B28" s="407" t="s">
        <v>305</v>
      </c>
      <c r="C28" s="408" t="s">
        <v>300</v>
      </c>
      <c r="D28" s="408" t="s">
        <v>304</v>
      </c>
    </row>
    <row r="29" spans="1:4" x14ac:dyDescent="0.2">
      <c r="A29" s="409"/>
      <c r="B29" s="407"/>
      <c r="C29" s="408"/>
      <c r="D29" s="408"/>
    </row>
    <row r="30" spans="1:4" x14ac:dyDescent="0.2">
      <c r="A30" s="406">
        <v>36734</v>
      </c>
      <c r="B30" s="407" t="s">
        <v>306</v>
      </c>
      <c r="C30" s="408"/>
      <c r="D30" s="408" t="s">
        <v>307</v>
      </c>
    </row>
    <row r="31" spans="1:4" x14ac:dyDescent="0.2">
      <c r="A31" s="409"/>
      <c r="B31" s="407"/>
      <c r="C31" s="408"/>
      <c r="D31" s="408"/>
    </row>
    <row r="32" spans="1:4" x14ac:dyDescent="0.2">
      <c r="A32" s="406">
        <v>36778</v>
      </c>
      <c r="B32" s="407" t="s">
        <v>308</v>
      </c>
      <c r="C32" s="408" t="s">
        <v>311</v>
      </c>
      <c r="D32" s="408" t="s">
        <v>310</v>
      </c>
    </row>
    <row r="33" spans="1:4" x14ac:dyDescent="0.2">
      <c r="A33" s="409"/>
      <c r="B33" s="407"/>
      <c r="C33" s="408"/>
      <c r="D33" s="408"/>
    </row>
    <row r="34" spans="1:4" x14ac:dyDescent="0.2">
      <c r="A34" s="406">
        <v>36778</v>
      </c>
      <c r="B34" s="407" t="s">
        <v>312</v>
      </c>
      <c r="C34" s="408" t="s">
        <v>309</v>
      </c>
      <c r="D34" s="408" t="s">
        <v>313</v>
      </c>
    </row>
    <row r="35" spans="1:4" x14ac:dyDescent="0.2">
      <c r="A35" s="409"/>
      <c r="B35" s="407"/>
      <c r="C35" s="408"/>
      <c r="D35" s="408"/>
    </row>
    <row r="36" spans="1:4" x14ac:dyDescent="0.2">
      <c r="A36" s="406">
        <v>36779</v>
      </c>
      <c r="B36" s="407" t="s">
        <v>314</v>
      </c>
      <c r="C36" s="408" t="s">
        <v>316</v>
      </c>
      <c r="D36" s="408" t="s">
        <v>315</v>
      </c>
    </row>
    <row r="37" spans="1:4" x14ac:dyDescent="0.2">
      <c r="A37" s="409"/>
      <c r="B37" s="407"/>
      <c r="C37" s="408"/>
      <c r="D37" s="408"/>
    </row>
    <row r="38" spans="1:4" x14ac:dyDescent="0.2">
      <c r="A38" s="406">
        <v>36779</v>
      </c>
      <c r="B38" s="407" t="s">
        <v>317</v>
      </c>
      <c r="C38" s="408" t="s">
        <v>316</v>
      </c>
      <c r="D38" s="408" t="s">
        <v>318</v>
      </c>
    </row>
    <row r="39" spans="1:4" x14ac:dyDescent="0.2">
      <c r="A39" s="409"/>
      <c r="B39" s="407"/>
      <c r="C39" s="408"/>
      <c r="D39" s="408"/>
    </row>
    <row r="40" spans="1:4" x14ac:dyDescent="0.2">
      <c r="A40" s="406">
        <v>36803</v>
      </c>
      <c r="B40" s="407" t="s">
        <v>319</v>
      </c>
      <c r="C40" s="408" t="s">
        <v>320</v>
      </c>
      <c r="D40" s="408" t="s">
        <v>321</v>
      </c>
    </row>
    <row r="41" spans="1:4" x14ac:dyDescent="0.2">
      <c r="A41" s="409"/>
      <c r="B41" s="407"/>
      <c r="C41" s="408"/>
      <c r="D41" s="408"/>
    </row>
    <row r="42" spans="1:4" x14ac:dyDescent="0.2">
      <c r="A42" s="406">
        <v>36839</v>
      </c>
      <c r="B42" s="407" t="s">
        <v>323</v>
      </c>
      <c r="C42" s="408"/>
      <c r="D42" s="408" t="s">
        <v>324</v>
      </c>
    </row>
    <row r="43" spans="1:4" x14ac:dyDescent="0.2">
      <c r="A43" s="409"/>
      <c r="B43" s="407"/>
      <c r="C43" s="408"/>
      <c r="D43" s="408"/>
    </row>
    <row r="44" spans="1:4" x14ac:dyDescent="0.2">
      <c r="A44" s="406">
        <v>36847</v>
      </c>
      <c r="B44" s="407" t="s">
        <v>325</v>
      </c>
      <c r="C44" s="408" t="s">
        <v>326</v>
      </c>
      <c r="D44" s="408" t="s">
        <v>327</v>
      </c>
    </row>
    <row r="45" spans="1:4" x14ac:dyDescent="0.2">
      <c r="A45" s="409"/>
      <c r="B45" s="407"/>
      <c r="C45" s="408"/>
      <c r="D45" s="408"/>
    </row>
    <row r="46" spans="1:4" x14ac:dyDescent="0.2">
      <c r="A46" s="406">
        <v>36886</v>
      </c>
      <c r="B46" s="407" t="s">
        <v>329</v>
      </c>
      <c r="C46" s="408" t="s">
        <v>330</v>
      </c>
      <c r="D46" s="408" t="s">
        <v>331</v>
      </c>
    </row>
    <row r="47" spans="1:4" x14ac:dyDescent="0.2">
      <c r="A47" s="409"/>
      <c r="B47" s="407"/>
      <c r="C47" s="408"/>
      <c r="D47" s="408"/>
    </row>
    <row r="48" spans="1:4" x14ac:dyDescent="0.2">
      <c r="A48" s="409"/>
      <c r="B48" s="407"/>
      <c r="C48" s="408"/>
      <c r="D48" s="408"/>
    </row>
    <row r="49" spans="1:4" x14ac:dyDescent="0.2">
      <c r="A49" s="409"/>
      <c r="B49" s="407"/>
      <c r="C49" s="408"/>
      <c r="D49" s="408"/>
    </row>
    <row r="50" spans="1:4" x14ac:dyDescent="0.2">
      <c r="A50" s="409"/>
      <c r="B50" s="407"/>
      <c r="C50" s="408"/>
      <c r="D50" s="408"/>
    </row>
    <row r="51" spans="1:4" x14ac:dyDescent="0.2">
      <c r="A51" s="409"/>
      <c r="B51" s="407"/>
      <c r="C51" s="408"/>
      <c r="D51" s="408"/>
    </row>
    <row r="52" spans="1:4" x14ac:dyDescent="0.2">
      <c r="A52" s="409"/>
      <c r="B52" s="407"/>
      <c r="C52" s="408"/>
      <c r="D52" s="408"/>
    </row>
    <row r="53" spans="1:4" x14ac:dyDescent="0.2">
      <c r="A53" s="409"/>
      <c r="B53" s="407"/>
      <c r="C53" s="408"/>
      <c r="D53" s="408"/>
    </row>
    <row r="54" spans="1:4" x14ac:dyDescent="0.2">
      <c r="A54" s="409"/>
      <c r="B54" s="407"/>
      <c r="C54" s="408"/>
      <c r="D54" s="408"/>
    </row>
    <row r="55" spans="1:4" x14ac:dyDescent="0.2">
      <c r="A55" s="409"/>
      <c r="B55" s="407"/>
      <c r="C55" s="408"/>
      <c r="D55" s="408"/>
    </row>
    <row r="56" spans="1:4" x14ac:dyDescent="0.2">
      <c r="A56" s="409"/>
      <c r="B56" s="407"/>
      <c r="C56" s="408"/>
      <c r="D56" s="408"/>
    </row>
    <row r="57" spans="1:4" x14ac:dyDescent="0.2">
      <c r="A57" s="409"/>
      <c r="B57" s="407"/>
      <c r="C57" s="408"/>
      <c r="D57" s="408"/>
    </row>
    <row r="58" spans="1:4" x14ac:dyDescent="0.2">
      <c r="A58" s="409"/>
      <c r="B58" s="407"/>
      <c r="C58" s="408"/>
      <c r="D58" s="408"/>
    </row>
    <row r="59" spans="1:4" x14ac:dyDescent="0.2">
      <c r="A59" s="409"/>
      <c r="B59" s="407"/>
      <c r="C59" s="408"/>
      <c r="D59" s="408"/>
    </row>
    <row r="60" spans="1:4" x14ac:dyDescent="0.2">
      <c r="A60" s="409"/>
      <c r="B60" s="407"/>
      <c r="C60" s="408"/>
      <c r="D60" s="408"/>
    </row>
    <row r="61" spans="1:4" x14ac:dyDescent="0.2">
      <c r="A61" s="409"/>
      <c r="B61" s="407"/>
      <c r="C61" s="408"/>
      <c r="D61" s="408"/>
    </row>
    <row r="62" spans="1:4" x14ac:dyDescent="0.2">
      <c r="A62" s="409"/>
      <c r="B62" s="407"/>
      <c r="C62" s="408"/>
      <c r="D62" s="408"/>
    </row>
    <row r="63" spans="1:4" x14ac:dyDescent="0.2">
      <c r="A63" s="409"/>
      <c r="B63" s="407"/>
      <c r="C63" s="408"/>
      <c r="D63" s="408"/>
    </row>
    <row r="64" spans="1:4" x14ac:dyDescent="0.2">
      <c r="A64" s="409"/>
      <c r="B64" s="407"/>
      <c r="C64" s="408"/>
      <c r="D64" s="408"/>
    </row>
    <row r="65" spans="1:4" x14ac:dyDescent="0.2">
      <c r="A65" s="409"/>
      <c r="B65" s="407"/>
      <c r="C65" s="408"/>
      <c r="D65" s="408"/>
    </row>
    <row r="66" spans="1:4" x14ac:dyDescent="0.2">
      <c r="A66" s="409"/>
      <c r="B66" s="407"/>
      <c r="C66" s="408"/>
      <c r="D66" s="408"/>
    </row>
    <row r="67" spans="1:4" x14ac:dyDescent="0.2">
      <c r="A67" s="409"/>
      <c r="B67" s="407"/>
      <c r="C67" s="408"/>
      <c r="D67" s="408"/>
    </row>
    <row r="68" spans="1:4" x14ac:dyDescent="0.2">
      <c r="A68" s="409"/>
      <c r="B68" s="407"/>
      <c r="C68" s="408"/>
      <c r="D68" s="408"/>
    </row>
    <row r="69" spans="1:4" x14ac:dyDescent="0.2">
      <c r="A69" s="409"/>
      <c r="B69" s="407"/>
      <c r="C69" s="408"/>
      <c r="D69" s="408"/>
    </row>
    <row r="70" spans="1:4" x14ac:dyDescent="0.2">
      <c r="A70" s="409"/>
      <c r="B70" s="407"/>
      <c r="C70" s="408"/>
      <c r="D70" s="408"/>
    </row>
    <row r="71" spans="1:4" x14ac:dyDescent="0.2">
      <c r="A71" s="409"/>
      <c r="B71" s="407"/>
      <c r="C71" s="408"/>
      <c r="D71" s="408"/>
    </row>
    <row r="72" spans="1:4" x14ac:dyDescent="0.2">
      <c r="A72" s="409"/>
      <c r="B72" s="407"/>
      <c r="C72" s="408"/>
      <c r="D72" s="408"/>
    </row>
    <row r="73" spans="1:4" x14ac:dyDescent="0.2">
      <c r="A73" s="409"/>
      <c r="B73" s="407"/>
      <c r="C73" s="408"/>
      <c r="D73" s="408"/>
    </row>
    <row r="74" spans="1:4" x14ac:dyDescent="0.2">
      <c r="A74" s="409"/>
      <c r="B74" s="407"/>
      <c r="C74" s="408"/>
      <c r="D74" s="408"/>
    </row>
    <row r="75" spans="1:4" x14ac:dyDescent="0.2">
      <c r="A75" s="409"/>
      <c r="B75" s="407"/>
      <c r="C75" s="408"/>
      <c r="D75" s="408"/>
    </row>
    <row r="76" spans="1:4" x14ac:dyDescent="0.2">
      <c r="A76" s="409"/>
      <c r="B76" s="407"/>
      <c r="C76" s="408"/>
      <c r="D76" s="408"/>
    </row>
    <row r="77" spans="1:4" x14ac:dyDescent="0.2">
      <c r="A77" s="409"/>
      <c r="B77" s="407"/>
      <c r="C77" s="408"/>
      <c r="D77" s="408"/>
    </row>
    <row r="78" spans="1:4" x14ac:dyDescent="0.2">
      <c r="A78" s="409"/>
      <c r="B78" s="407"/>
      <c r="C78" s="408"/>
      <c r="D78" s="408"/>
    </row>
    <row r="79" spans="1:4" x14ac:dyDescent="0.2">
      <c r="A79" s="409"/>
      <c r="B79" s="407"/>
      <c r="C79" s="408"/>
      <c r="D79" s="408"/>
    </row>
    <row r="80" spans="1:4" x14ac:dyDescent="0.2">
      <c r="A80" s="409"/>
      <c r="B80" s="407"/>
      <c r="C80" s="408"/>
      <c r="D80" s="408"/>
    </row>
    <row r="81" spans="1:4" x14ac:dyDescent="0.2">
      <c r="A81" s="409"/>
      <c r="B81" s="407"/>
      <c r="C81" s="408"/>
      <c r="D81" s="408"/>
    </row>
    <row r="82" spans="1:4" x14ac:dyDescent="0.2">
      <c r="A82" s="409"/>
      <c r="B82" s="407"/>
      <c r="C82" s="408"/>
      <c r="D82" s="408"/>
    </row>
    <row r="83" spans="1:4" x14ac:dyDescent="0.2">
      <c r="A83" s="409"/>
      <c r="B83" s="407"/>
      <c r="C83" s="408"/>
      <c r="D83" s="408"/>
    </row>
    <row r="84" spans="1:4" x14ac:dyDescent="0.2">
      <c r="A84" s="409"/>
      <c r="B84" s="407"/>
      <c r="C84" s="408"/>
      <c r="D84" s="408"/>
    </row>
    <row r="85" spans="1:4" x14ac:dyDescent="0.2">
      <c r="A85" s="409"/>
      <c r="B85" s="407"/>
      <c r="C85" s="408"/>
      <c r="D85" s="408"/>
    </row>
    <row r="86" spans="1:4" x14ac:dyDescent="0.2">
      <c r="A86" s="409"/>
      <c r="B86" s="407"/>
      <c r="C86" s="408"/>
      <c r="D86" s="408"/>
    </row>
    <row r="87" spans="1:4" x14ac:dyDescent="0.2">
      <c r="A87" s="409"/>
      <c r="B87" s="407"/>
      <c r="C87" s="408"/>
      <c r="D87" s="408"/>
    </row>
    <row r="88" spans="1:4" x14ac:dyDescent="0.2">
      <c r="A88" s="409"/>
      <c r="B88" s="407"/>
      <c r="C88" s="408"/>
      <c r="D88" s="408"/>
    </row>
    <row r="89" spans="1:4" x14ac:dyDescent="0.2">
      <c r="A89" s="409"/>
      <c r="B89" s="407"/>
      <c r="C89" s="408"/>
      <c r="D89" s="408"/>
    </row>
    <row r="90" spans="1:4" x14ac:dyDescent="0.2">
      <c r="A90" s="409"/>
      <c r="B90" s="407"/>
      <c r="C90" s="408"/>
      <c r="D90" s="408"/>
    </row>
    <row r="91" spans="1:4" x14ac:dyDescent="0.2">
      <c r="A91" s="409"/>
      <c r="B91" s="407"/>
      <c r="C91" s="408"/>
      <c r="D91" s="408"/>
    </row>
    <row r="92" spans="1:4" x14ac:dyDescent="0.2">
      <c r="A92" s="409"/>
      <c r="B92" s="407"/>
      <c r="C92" s="408"/>
      <c r="D92" s="408"/>
    </row>
    <row r="93" spans="1:4" x14ac:dyDescent="0.2">
      <c r="A93" s="409"/>
      <c r="B93" s="407"/>
      <c r="C93" s="408"/>
      <c r="D93" s="408"/>
    </row>
    <row r="94" spans="1:4" x14ac:dyDescent="0.2">
      <c r="A94" s="409"/>
      <c r="B94" s="407"/>
      <c r="C94" s="408"/>
      <c r="D94" s="408"/>
    </row>
    <row r="95" spans="1:4" x14ac:dyDescent="0.2">
      <c r="A95" s="409"/>
      <c r="B95" s="407"/>
      <c r="C95" s="408"/>
      <c r="D95" s="408"/>
    </row>
    <row r="96" spans="1:4" x14ac:dyDescent="0.2">
      <c r="A96" s="409"/>
      <c r="B96" s="407"/>
      <c r="C96" s="408"/>
      <c r="D96" s="408"/>
    </row>
    <row r="97" spans="1:4" x14ac:dyDescent="0.2">
      <c r="A97" s="409"/>
      <c r="B97" s="407"/>
      <c r="C97" s="408"/>
      <c r="D97" s="408"/>
    </row>
    <row r="98" spans="1:4" x14ac:dyDescent="0.2">
      <c r="A98" s="409"/>
      <c r="B98" s="407"/>
      <c r="C98" s="408"/>
      <c r="D98" s="408"/>
    </row>
    <row r="99" spans="1:4" x14ac:dyDescent="0.2">
      <c r="A99" s="409"/>
      <c r="B99" s="407"/>
      <c r="C99" s="408"/>
      <c r="D99" s="408"/>
    </row>
    <row r="100" spans="1:4" x14ac:dyDescent="0.2">
      <c r="A100" s="409"/>
      <c r="B100" s="407"/>
      <c r="C100" s="408"/>
      <c r="D100" s="408"/>
    </row>
    <row r="101" spans="1:4" x14ac:dyDescent="0.2">
      <c r="A101" s="409"/>
      <c r="B101" s="407"/>
      <c r="C101" s="408"/>
      <c r="D101" s="408"/>
    </row>
    <row r="102" spans="1:4" x14ac:dyDescent="0.2">
      <c r="A102" s="409"/>
      <c r="B102" s="407"/>
      <c r="C102" s="408"/>
      <c r="D102" s="408"/>
    </row>
    <row r="103" spans="1:4" x14ac:dyDescent="0.2">
      <c r="A103" s="409"/>
      <c r="B103" s="407"/>
      <c r="C103" s="408"/>
      <c r="D103" s="408"/>
    </row>
    <row r="104" spans="1:4" x14ac:dyDescent="0.2">
      <c r="A104" s="409"/>
      <c r="B104" s="407"/>
      <c r="C104" s="408"/>
      <c r="D104" s="408"/>
    </row>
    <row r="105" spans="1:4" x14ac:dyDescent="0.2">
      <c r="A105" s="409"/>
      <c r="B105" s="407"/>
      <c r="C105" s="408"/>
      <c r="D105" s="408"/>
    </row>
    <row r="106" spans="1:4" x14ac:dyDescent="0.2">
      <c r="A106" s="409"/>
      <c r="B106" s="407"/>
      <c r="C106" s="408"/>
      <c r="D106" s="408"/>
    </row>
    <row r="107" spans="1:4" x14ac:dyDescent="0.2">
      <c r="A107" s="409"/>
      <c r="B107" s="407"/>
      <c r="C107" s="408"/>
      <c r="D107" s="408"/>
    </row>
    <row r="108" spans="1:4" x14ac:dyDescent="0.2">
      <c r="A108" s="409"/>
      <c r="B108" s="407"/>
      <c r="C108" s="408"/>
      <c r="D108" s="408"/>
    </row>
    <row r="109" spans="1:4" x14ac:dyDescent="0.2">
      <c r="A109" s="409"/>
      <c r="B109" s="407"/>
      <c r="C109" s="408"/>
      <c r="D109" s="408"/>
    </row>
    <row r="110" spans="1:4" x14ac:dyDescent="0.2">
      <c r="A110" s="409"/>
      <c r="B110" s="407"/>
      <c r="C110" s="408"/>
      <c r="D110" s="408"/>
    </row>
    <row r="111" spans="1:4" x14ac:dyDescent="0.2">
      <c r="A111" s="409"/>
      <c r="B111" s="407"/>
      <c r="C111" s="408"/>
      <c r="D111" s="408"/>
    </row>
    <row r="112" spans="1:4" x14ac:dyDescent="0.2">
      <c r="A112" s="409"/>
      <c r="B112" s="407"/>
      <c r="C112" s="408"/>
      <c r="D112" s="408"/>
    </row>
    <row r="113" spans="1:4" x14ac:dyDescent="0.2">
      <c r="A113" s="409"/>
      <c r="B113" s="407"/>
      <c r="C113" s="408"/>
      <c r="D113" s="408"/>
    </row>
    <row r="114" spans="1:4" x14ac:dyDescent="0.2">
      <c r="A114" s="409"/>
      <c r="B114" s="407"/>
      <c r="C114" s="408"/>
      <c r="D114" s="408"/>
    </row>
    <row r="115" spans="1:4" x14ac:dyDescent="0.2">
      <c r="A115" s="409"/>
      <c r="B115" s="407"/>
      <c r="C115" s="408"/>
      <c r="D115" s="408"/>
    </row>
    <row r="116" spans="1:4" x14ac:dyDescent="0.2">
      <c r="A116" s="409"/>
      <c r="B116" s="407"/>
      <c r="C116" s="408"/>
      <c r="D116" s="408"/>
    </row>
    <row r="117" spans="1:4" x14ac:dyDescent="0.2">
      <c r="A117" s="409"/>
      <c r="B117" s="407"/>
      <c r="C117" s="408"/>
      <c r="D117" s="408"/>
    </row>
    <row r="118" spans="1:4" x14ac:dyDescent="0.2">
      <c r="A118" s="409"/>
      <c r="B118" s="407"/>
      <c r="C118" s="408"/>
      <c r="D118" s="408"/>
    </row>
    <row r="119" spans="1:4" x14ac:dyDescent="0.2">
      <c r="A119" s="409"/>
      <c r="B119" s="407"/>
      <c r="C119" s="408"/>
      <c r="D119" s="408"/>
    </row>
    <row r="120" spans="1:4" x14ac:dyDescent="0.2">
      <c r="A120" s="409"/>
      <c r="B120" s="407"/>
      <c r="C120" s="408"/>
      <c r="D120" s="408"/>
    </row>
    <row r="121" spans="1:4" x14ac:dyDescent="0.2">
      <c r="A121" s="409"/>
      <c r="B121" s="407"/>
      <c r="C121" s="408"/>
      <c r="D121" s="408"/>
    </row>
    <row r="122" spans="1:4" x14ac:dyDescent="0.2">
      <c r="A122" s="409"/>
      <c r="B122" s="407"/>
      <c r="C122" s="408"/>
      <c r="D122" s="408"/>
    </row>
    <row r="123" spans="1:4" x14ac:dyDescent="0.2">
      <c r="A123" s="409"/>
      <c r="B123" s="407"/>
      <c r="C123" s="408"/>
      <c r="D123" s="408"/>
    </row>
    <row r="124" spans="1:4" x14ac:dyDescent="0.2">
      <c r="A124" s="409"/>
      <c r="B124" s="407"/>
      <c r="C124" s="408"/>
      <c r="D124" s="408"/>
    </row>
    <row r="125" spans="1:4" x14ac:dyDescent="0.2">
      <c r="A125" s="409"/>
      <c r="B125" s="407"/>
      <c r="C125" s="408"/>
      <c r="D125" s="408"/>
    </row>
    <row r="126" spans="1:4" x14ac:dyDescent="0.2">
      <c r="A126" s="409"/>
      <c r="B126" s="407"/>
      <c r="C126" s="408"/>
      <c r="D126" s="408"/>
    </row>
    <row r="127" spans="1:4" x14ac:dyDescent="0.2">
      <c r="A127" s="409"/>
      <c r="B127" s="407"/>
      <c r="C127" s="408"/>
      <c r="D127" s="408"/>
    </row>
    <row r="128" spans="1:4" x14ac:dyDescent="0.2">
      <c r="A128" s="409"/>
      <c r="B128" s="407"/>
      <c r="C128" s="408"/>
      <c r="D128" s="408"/>
    </row>
    <row r="129" spans="1:4" x14ac:dyDescent="0.2">
      <c r="A129" s="409"/>
      <c r="B129" s="407"/>
      <c r="C129" s="408"/>
      <c r="D129" s="408"/>
    </row>
    <row r="130" spans="1:4" x14ac:dyDescent="0.2">
      <c r="A130" s="409"/>
      <c r="B130" s="407"/>
      <c r="C130" s="408"/>
      <c r="D130" s="408"/>
    </row>
    <row r="131" spans="1:4" x14ac:dyDescent="0.2">
      <c r="A131" s="409"/>
      <c r="B131" s="407"/>
      <c r="C131" s="408"/>
      <c r="D131" s="408"/>
    </row>
    <row r="132" spans="1:4" x14ac:dyDescent="0.2">
      <c r="A132" s="409"/>
      <c r="B132" s="407"/>
      <c r="C132" s="408"/>
      <c r="D132" s="408"/>
    </row>
    <row r="133" spans="1:4" x14ac:dyDescent="0.2">
      <c r="A133" s="409"/>
      <c r="B133" s="407"/>
      <c r="C133" s="408"/>
      <c r="D133" s="408"/>
    </row>
    <row r="134" spans="1:4" x14ac:dyDescent="0.2">
      <c r="A134" s="409"/>
      <c r="B134" s="407"/>
      <c r="C134" s="408"/>
      <c r="D134" s="408"/>
    </row>
    <row r="135" spans="1:4" x14ac:dyDescent="0.2">
      <c r="A135" s="409"/>
      <c r="B135" s="407"/>
      <c r="C135" s="408"/>
      <c r="D135" s="408"/>
    </row>
    <row r="136" spans="1:4" x14ac:dyDescent="0.2">
      <c r="A136" s="409"/>
      <c r="B136" s="407"/>
      <c r="C136" s="408"/>
      <c r="D136" s="408"/>
    </row>
    <row r="137" spans="1:4" x14ac:dyDescent="0.2">
      <c r="A137" s="409"/>
      <c r="B137" s="407"/>
      <c r="C137" s="408"/>
      <c r="D137" s="408"/>
    </row>
    <row r="138" spans="1:4" x14ac:dyDescent="0.2">
      <c r="A138" s="409"/>
      <c r="B138" s="407"/>
      <c r="C138" s="408"/>
      <c r="D138" s="408"/>
    </row>
    <row r="139" spans="1:4" x14ac:dyDescent="0.2">
      <c r="A139" s="409"/>
      <c r="B139" s="407"/>
      <c r="C139" s="408"/>
      <c r="D139" s="408"/>
    </row>
    <row r="140" spans="1:4" x14ac:dyDescent="0.2">
      <c r="A140" s="409"/>
      <c r="B140" s="407"/>
      <c r="C140" s="408"/>
      <c r="D140" s="408"/>
    </row>
    <row r="141" spans="1:4" x14ac:dyDescent="0.2">
      <c r="A141" s="409"/>
      <c r="B141" s="407"/>
      <c r="C141" s="408"/>
      <c r="D141" s="408"/>
    </row>
    <row r="142" spans="1:4" x14ac:dyDescent="0.2">
      <c r="A142" s="409"/>
      <c r="B142" s="407"/>
      <c r="C142" s="408"/>
      <c r="D142" s="408"/>
    </row>
    <row r="143" spans="1:4" x14ac:dyDescent="0.2">
      <c r="A143" s="409"/>
      <c r="B143" s="407"/>
      <c r="C143" s="408"/>
      <c r="D143" s="408"/>
    </row>
    <row r="144" spans="1:4" x14ac:dyDescent="0.2">
      <c r="A144" s="409"/>
      <c r="B144" s="407"/>
      <c r="C144" s="408"/>
      <c r="D144" s="408"/>
    </row>
    <row r="145" spans="1:4" x14ac:dyDescent="0.2">
      <c r="A145" s="409"/>
      <c r="B145" s="407"/>
      <c r="C145" s="408"/>
      <c r="D145" s="408"/>
    </row>
    <row r="146" spans="1:4" x14ac:dyDescent="0.2">
      <c r="A146" s="409"/>
      <c r="B146" s="407"/>
      <c r="C146" s="408"/>
      <c r="D146" s="408"/>
    </row>
    <row r="147" spans="1:4" x14ac:dyDescent="0.2">
      <c r="A147" s="409"/>
      <c r="B147" s="407"/>
      <c r="C147" s="408"/>
      <c r="D147" s="408"/>
    </row>
    <row r="148" spans="1:4" x14ac:dyDescent="0.2">
      <c r="A148" s="409"/>
      <c r="B148" s="407"/>
      <c r="C148" s="408"/>
      <c r="D148" s="408"/>
    </row>
    <row r="149" spans="1:4" x14ac:dyDescent="0.2">
      <c r="A149" s="409"/>
      <c r="B149" s="407"/>
      <c r="C149" s="408"/>
      <c r="D149" s="408"/>
    </row>
    <row r="150" spans="1:4" x14ac:dyDescent="0.2">
      <c r="A150" s="409"/>
      <c r="B150" s="407"/>
      <c r="C150" s="408"/>
      <c r="D150" s="408"/>
    </row>
    <row r="151" spans="1:4" x14ac:dyDescent="0.2">
      <c r="A151" s="409"/>
      <c r="B151" s="407"/>
      <c r="C151" s="408"/>
      <c r="D151" s="408"/>
    </row>
    <row r="152" spans="1:4" x14ac:dyDescent="0.2">
      <c r="A152" s="409"/>
      <c r="B152" s="407"/>
      <c r="C152" s="408"/>
      <c r="D152" s="408"/>
    </row>
    <row r="153" spans="1:4" x14ac:dyDescent="0.2">
      <c r="A153" s="409"/>
      <c r="B153" s="407"/>
      <c r="C153" s="408"/>
      <c r="D153" s="408"/>
    </row>
    <row r="154" spans="1:4" x14ac:dyDescent="0.2">
      <c r="A154" s="409"/>
      <c r="B154" s="407"/>
      <c r="C154" s="408"/>
      <c r="D154" s="408"/>
    </row>
    <row r="155" spans="1:4" x14ac:dyDescent="0.2">
      <c r="A155" s="409"/>
      <c r="B155" s="407"/>
      <c r="C155" s="408"/>
      <c r="D155" s="408"/>
    </row>
    <row r="156" spans="1:4" x14ac:dyDescent="0.2">
      <c r="A156" s="409"/>
      <c r="B156" s="407"/>
      <c r="C156" s="408"/>
      <c r="D156" s="408"/>
    </row>
    <row r="157" spans="1:4" x14ac:dyDescent="0.2">
      <c r="A157" s="409"/>
      <c r="B157" s="407"/>
      <c r="C157" s="408"/>
      <c r="D157" s="408"/>
    </row>
    <row r="158" spans="1:4" x14ac:dyDescent="0.2">
      <c r="A158" s="409"/>
      <c r="B158" s="407"/>
      <c r="C158" s="408"/>
      <c r="D158" s="408"/>
    </row>
    <row r="159" spans="1:4" x14ac:dyDescent="0.2">
      <c r="A159" s="409"/>
      <c r="B159" s="407"/>
      <c r="C159" s="408"/>
      <c r="D159" s="408"/>
    </row>
    <row r="160" spans="1:4" x14ac:dyDescent="0.2">
      <c r="A160" s="409"/>
      <c r="B160" s="407"/>
      <c r="C160" s="408"/>
      <c r="D160" s="408"/>
    </row>
    <row r="161" spans="1:4" x14ac:dyDescent="0.2">
      <c r="A161" s="409"/>
      <c r="B161" s="407"/>
      <c r="C161" s="408"/>
      <c r="D161" s="408"/>
    </row>
    <row r="162" spans="1:4" x14ac:dyDescent="0.2">
      <c r="A162" s="409"/>
      <c r="B162" s="407"/>
      <c r="C162" s="408"/>
      <c r="D162" s="408"/>
    </row>
    <row r="163" spans="1:4" x14ac:dyDescent="0.2">
      <c r="A163" s="409"/>
      <c r="B163" s="407"/>
      <c r="C163" s="408"/>
      <c r="D163" s="408"/>
    </row>
    <row r="164" spans="1:4" x14ac:dyDescent="0.2">
      <c r="A164" s="409"/>
      <c r="B164" s="407"/>
      <c r="C164" s="408"/>
      <c r="D164" s="408"/>
    </row>
    <row r="165" spans="1:4" x14ac:dyDescent="0.2">
      <c r="A165" s="409"/>
      <c r="B165" s="407"/>
      <c r="C165" s="408"/>
      <c r="D165" s="408"/>
    </row>
    <row r="166" spans="1:4" x14ac:dyDescent="0.2">
      <c r="A166" s="409"/>
      <c r="B166" s="407"/>
      <c r="C166" s="408"/>
      <c r="D166" s="408"/>
    </row>
    <row r="167" spans="1:4" x14ac:dyDescent="0.2">
      <c r="A167" s="409"/>
      <c r="B167" s="407"/>
      <c r="C167" s="408"/>
      <c r="D167" s="408"/>
    </row>
    <row r="168" spans="1:4" x14ac:dyDescent="0.2">
      <c r="A168" s="409"/>
      <c r="B168" s="407"/>
      <c r="C168" s="408"/>
      <c r="D168" s="408"/>
    </row>
    <row r="169" spans="1:4" x14ac:dyDescent="0.2">
      <c r="A169" s="409"/>
      <c r="B169" s="407"/>
      <c r="C169" s="408"/>
      <c r="D169" s="408"/>
    </row>
    <row r="170" spans="1:4" x14ac:dyDescent="0.2">
      <c r="A170" s="409"/>
      <c r="B170" s="407"/>
      <c r="C170" s="408"/>
      <c r="D170" s="408"/>
    </row>
    <row r="171" spans="1:4" x14ac:dyDescent="0.2">
      <c r="A171" s="409"/>
      <c r="B171" s="407"/>
      <c r="C171" s="408"/>
      <c r="D171" s="408"/>
    </row>
    <row r="172" spans="1:4" x14ac:dyDescent="0.2">
      <c r="A172" s="409"/>
      <c r="B172" s="407"/>
      <c r="C172" s="408"/>
      <c r="D172" s="408"/>
    </row>
    <row r="173" spans="1:4" x14ac:dyDescent="0.2">
      <c r="A173" s="409"/>
      <c r="B173" s="407"/>
      <c r="C173" s="408"/>
      <c r="D173" s="408"/>
    </row>
    <row r="174" spans="1:4" x14ac:dyDescent="0.2">
      <c r="A174" s="409"/>
      <c r="B174" s="407"/>
      <c r="C174" s="408"/>
      <c r="D174" s="408"/>
    </row>
    <row r="175" spans="1:4" x14ac:dyDescent="0.2">
      <c r="A175" s="409"/>
      <c r="B175" s="407"/>
      <c r="C175" s="408"/>
      <c r="D175" s="408"/>
    </row>
    <row r="176" spans="1:4" x14ac:dyDescent="0.2">
      <c r="A176" s="409"/>
      <c r="B176" s="407"/>
      <c r="C176" s="408"/>
      <c r="D176" s="408"/>
    </row>
    <row r="177" spans="1:4" x14ac:dyDescent="0.2">
      <c r="A177" s="409"/>
      <c r="B177" s="407"/>
      <c r="C177" s="408"/>
      <c r="D177" s="408"/>
    </row>
    <row r="178" spans="1:4" x14ac:dyDescent="0.2">
      <c r="A178" s="409"/>
      <c r="B178" s="407"/>
      <c r="C178" s="408"/>
      <c r="D178" s="408"/>
    </row>
    <row r="179" spans="1:4" x14ac:dyDescent="0.2">
      <c r="A179" s="409"/>
      <c r="B179" s="407"/>
      <c r="C179" s="408"/>
      <c r="D179" s="408"/>
    </row>
    <row r="180" spans="1:4" x14ac:dyDescent="0.2">
      <c r="A180" s="409"/>
      <c r="B180" s="407"/>
      <c r="C180" s="408"/>
      <c r="D180" s="408"/>
    </row>
    <row r="181" spans="1:4" x14ac:dyDescent="0.2">
      <c r="A181" s="409"/>
      <c r="B181" s="407"/>
      <c r="C181" s="408"/>
      <c r="D181" s="408"/>
    </row>
    <row r="182" spans="1:4" x14ac:dyDescent="0.2">
      <c r="A182" s="409"/>
      <c r="B182" s="407"/>
      <c r="C182" s="408"/>
      <c r="D182" s="408"/>
    </row>
    <row r="183" spans="1:4" x14ac:dyDescent="0.2">
      <c r="A183" s="409"/>
      <c r="B183" s="407"/>
      <c r="C183" s="408"/>
      <c r="D183" s="408"/>
    </row>
    <row r="184" spans="1:4" x14ac:dyDescent="0.2">
      <c r="A184" s="409"/>
      <c r="B184" s="407"/>
      <c r="C184" s="408"/>
      <c r="D184" s="408"/>
    </row>
    <row r="185" spans="1:4" x14ac:dyDescent="0.2">
      <c r="A185" s="409"/>
      <c r="B185" s="407"/>
      <c r="C185" s="408"/>
      <c r="D185" s="408"/>
    </row>
    <row r="186" spans="1:4" x14ac:dyDescent="0.2">
      <c r="A186" s="409"/>
      <c r="B186" s="407"/>
      <c r="C186" s="408"/>
      <c r="D186" s="408"/>
    </row>
    <row r="187" spans="1:4" x14ac:dyDescent="0.2">
      <c r="A187" s="409"/>
      <c r="B187" s="407"/>
      <c r="C187" s="408"/>
      <c r="D187" s="408"/>
    </row>
    <row r="188" spans="1:4" x14ac:dyDescent="0.2">
      <c r="A188" s="409"/>
      <c r="B188" s="407"/>
      <c r="C188" s="408"/>
      <c r="D188" s="408"/>
    </row>
    <row r="189" spans="1:4" x14ac:dyDescent="0.2">
      <c r="A189" s="409"/>
      <c r="B189" s="407"/>
      <c r="C189" s="408"/>
      <c r="D189" s="408"/>
    </row>
    <row r="190" spans="1:4" x14ac:dyDescent="0.2">
      <c r="A190" s="409"/>
      <c r="B190" s="407"/>
      <c r="C190" s="408"/>
      <c r="D190" s="408"/>
    </row>
    <row r="191" spans="1:4" x14ac:dyDescent="0.2">
      <c r="A191" s="409"/>
      <c r="B191" s="407"/>
      <c r="C191" s="408"/>
      <c r="D191" s="408"/>
    </row>
    <row r="192" spans="1:4" x14ac:dyDescent="0.2">
      <c r="A192" s="409"/>
      <c r="B192" s="407"/>
      <c r="C192" s="408"/>
      <c r="D192" s="408"/>
    </row>
    <row r="193" spans="1:4" x14ac:dyDescent="0.2">
      <c r="A193" s="409"/>
      <c r="B193" s="407"/>
      <c r="C193" s="408"/>
      <c r="D193" s="408"/>
    </row>
    <row r="194" spans="1:4" x14ac:dyDescent="0.2">
      <c r="A194" s="409"/>
      <c r="B194" s="407"/>
      <c r="C194" s="408"/>
      <c r="D194" s="408"/>
    </row>
    <row r="195" spans="1:4" x14ac:dyDescent="0.2">
      <c r="A195" s="409"/>
      <c r="B195" s="407"/>
      <c r="C195" s="408"/>
      <c r="D195" s="408"/>
    </row>
    <row r="196" spans="1:4" x14ac:dyDescent="0.2">
      <c r="A196" s="409"/>
      <c r="B196" s="407"/>
      <c r="C196" s="408"/>
      <c r="D196" s="408"/>
    </row>
    <row r="197" spans="1:4" x14ac:dyDescent="0.2">
      <c r="A197" s="409"/>
      <c r="B197" s="407"/>
      <c r="C197" s="408"/>
      <c r="D197" s="408"/>
    </row>
    <row r="198" spans="1:4" x14ac:dyDescent="0.2">
      <c r="A198" s="409"/>
      <c r="B198" s="407"/>
      <c r="C198" s="408"/>
      <c r="D198" s="408"/>
    </row>
    <row r="199" spans="1:4" x14ac:dyDescent="0.2">
      <c r="A199" s="409"/>
      <c r="B199" s="407"/>
      <c r="C199" s="408"/>
      <c r="D199" s="408"/>
    </row>
    <row r="200" spans="1:4" x14ac:dyDescent="0.2">
      <c r="A200" s="409"/>
      <c r="B200" s="407"/>
      <c r="C200" s="408"/>
      <c r="D200" s="408"/>
    </row>
    <row r="201" spans="1:4" x14ac:dyDescent="0.2">
      <c r="A201" s="409"/>
      <c r="B201" s="407"/>
      <c r="C201" s="408"/>
      <c r="D201" s="408"/>
    </row>
    <row r="202" spans="1:4" x14ac:dyDescent="0.2">
      <c r="A202" s="409"/>
      <c r="B202" s="407"/>
      <c r="C202" s="408"/>
      <c r="D202" s="408"/>
    </row>
    <row r="203" spans="1:4" x14ac:dyDescent="0.2">
      <c r="A203" s="409"/>
      <c r="B203" s="407"/>
      <c r="C203" s="408"/>
      <c r="D203" s="408"/>
    </row>
    <row r="204" spans="1:4" x14ac:dyDescent="0.2">
      <c r="A204" s="409"/>
      <c r="B204" s="407"/>
      <c r="C204" s="408"/>
      <c r="D204" s="408"/>
    </row>
    <row r="205" spans="1:4" x14ac:dyDescent="0.2">
      <c r="A205" s="409"/>
      <c r="B205" s="407"/>
      <c r="C205" s="408"/>
      <c r="D205" s="408"/>
    </row>
    <row r="206" spans="1:4" x14ac:dyDescent="0.2">
      <c r="A206" s="409"/>
      <c r="B206" s="407"/>
      <c r="C206" s="408"/>
      <c r="D206" s="408"/>
    </row>
    <row r="207" spans="1:4" x14ac:dyDescent="0.2">
      <c r="A207" s="409"/>
      <c r="B207" s="407"/>
      <c r="C207" s="408"/>
      <c r="D207" s="408"/>
    </row>
    <row r="208" spans="1:4" x14ac:dyDescent="0.2">
      <c r="A208" s="409"/>
      <c r="B208" s="407"/>
      <c r="C208" s="408"/>
      <c r="D208" s="408"/>
    </row>
    <row r="209" spans="1:4" x14ac:dyDescent="0.2">
      <c r="A209" s="409"/>
      <c r="B209" s="407"/>
      <c r="C209" s="408"/>
      <c r="D209" s="408"/>
    </row>
    <row r="210" spans="1:4" x14ac:dyDescent="0.2">
      <c r="A210" s="409"/>
      <c r="B210" s="407"/>
      <c r="C210" s="408"/>
      <c r="D210" s="408"/>
    </row>
    <row r="211" spans="1:4" x14ac:dyDescent="0.2">
      <c r="A211" s="409"/>
      <c r="B211" s="407"/>
      <c r="C211" s="408"/>
      <c r="D211" s="408"/>
    </row>
    <row r="212" spans="1:4" x14ac:dyDescent="0.2">
      <c r="A212" s="409"/>
      <c r="B212" s="407"/>
      <c r="C212" s="408"/>
      <c r="D212" s="408"/>
    </row>
    <row r="213" spans="1:4" x14ac:dyDescent="0.2">
      <c r="A213" s="409"/>
      <c r="B213" s="407"/>
      <c r="C213" s="408"/>
      <c r="D213" s="408"/>
    </row>
    <row r="214" spans="1:4" x14ac:dyDescent="0.2">
      <c r="A214" s="409"/>
      <c r="B214" s="407"/>
      <c r="C214" s="408"/>
      <c r="D214" s="408"/>
    </row>
    <row r="215" spans="1:4" x14ac:dyDescent="0.2">
      <c r="A215" s="409"/>
      <c r="B215" s="407"/>
      <c r="C215" s="408"/>
      <c r="D215" s="408"/>
    </row>
    <row r="216" spans="1:4" x14ac:dyDescent="0.2">
      <c r="A216" s="409"/>
      <c r="B216" s="407"/>
      <c r="C216" s="408"/>
      <c r="D216" s="408"/>
    </row>
    <row r="217" spans="1:4" x14ac:dyDescent="0.2">
      <c r="A217" s="409"/>
      <c r="B217" s="407"/>
      <c r="C217" s="408"/>
      <c r="D217" s="408"/>
    </row>
    <row r="218" spans="1:4" x14ac:dyDescent="0.2">
      <c r="A218" s="409"/>
      <c r="B218" s="407"/>
      <c r="C218" s="408"/>
      <c r="D218" s="408"/>
    </row>
    <row r="219" spans="1:4" x14ac:dyDescent="0.2">
      <c r="A219" s="409"/>
      <c r="B219" s="407"/>
      <c r="C219" s="408"/>
      <c r="D219" s="408"/>
    </row>
    <row r="220" spans="1:4" x14ac:dyDescent="0.2">
      <c r="A220" s="409"/>
      <c r="B220" s="407"/>
      <c r="C220" s="408"/>
      <c r="D220" s="408"/>
    </row>
    <row r="221" spans="1:4" x14ac:dyDescent="0.2">
      <c r="A221" s="409"/>
      <c r="B221" s="407"/>
      <c r="C221" s="408"/>
      <c r="D221" s="408"/>
    </row>
    <row r="222" spans="1:4" x14ac:dyDescent="0.2">
      <c r="A222" s="409"/>
      <c r="B222" s="407"/>
      <c r="C222" s="408"/>
      <c r="D222" s="408"/>
    </row>
    <row r="223" spans="1:4" x14ac:dyDescent="0.2">
      <c r="A223" s="409"/>
      <c r="B223" s="407"/>
      <c r="C223" s="408"/>
      <c r="D223" s="408"/>
    </row>
    <row r="224" spans="1:4" x14ac:dyDescent="0.2">
      <c r="A224" s="409"/>
      <c r="B224" s="407"/>
      <c r="C224" s="408"/>
      <c r="D224" s="408"/>
    </row>
    <row r="225" spans="1:4" x14ac:dyDescent="0.2">
      <c r="A225" s="409"/>
      <c r="B225" s="407"/>
      <c r="C225" s="408"/>
      <c r="D225" s="408"/>
    </row>
    <row r="226" spans="1:4" x14ac:dyDescent="0.2">
      <c r="A226" s="409"/>
      <c r="B226" s="407"/>
      <c r="C226" s="408"/>
      <c r="D226" s="408"/>
    </row>
    <row r="227" spans="1:4" x14ac:dyDescent="0.2">
      <c r="A227" s="409"/>
      <c r="B227" s="407"/>
      <c r="C227" s="408"/>
      <c r="D227" s="408"/>
    </row>
    <row r="228" spans="1:4" x14ac:dyDescent="0.2">
      <c r="A228" s="409"/>
      <c r="B228" s="407"/>
      <c r="C228" s="408"/>
      <c r="D228" s="408"/>
    </row>
    <row r="229" spans="1:4" x14ac:dyDescent="0.2">
      <c r="A229" s="409"/>
      <c r="B229" s="407"/>
      <c r="C229" s="408"/>
      <c r="D229" s="408"/>
    </row>
    <row r="230" spans="1:4" x14ac:dyDescent="0.2">
      <c r="A230" s="409"/>
      <c r="B230" s="407"/>
      <c r="C230" s="408"/>
      <c r="D230" s="408"/>
    </row>
    <row r="231" spans="1:4" x14ac:dyDescent="0.2">
      <c r="A231" s="409"/>
      <c r="B231" s="407"/>
      <c r="C231" s="408"/>
      <c r="D231" s="408"/>
    </row>
    <row r="232" spans="1:4" x14ac:dyDescent="0.2">
      <c r="A232" s="409"/>
      <c r="B232" s="407"/>
      <c r="C232" s="408"/>
      <c r="D232" s="408"/>
    </row>
    <row r="233" spans="1:4" x14ac:dyDescent="0.2">
      <c r="A233" s="409"/>
      <c r="B233" s="407"/>
      <c r="C233" s="408"/>
      <c r="D233" s="408"/>
    </row>
    <row r="234" spans="1:4" x14ac:dyDescent="0.2">
      <c r="A234" s="409"/>
      <c r="B234" s="407"/>
      <c r="C234" s="408"/>
      <c r="D234" s="408"/>
    </row>
    <row r="235" spans="1:4" x14ac:dyDescent="0.2">
      <c r="A235" s="409"/>
      <c r="B235" s="407"/>
      <c r="C235" s="408"/>
      <c r="D235" s="408"/>
    </row>
    <row r="236" spans="1:4" x14ac:dyDescent="0.2">
      <c r="A236" s="409"/>
      <c r="B236" s="407"/>
      <c r="C236" s="408"/>
      <c r="D236" s="408"/>
    </row>
    <row r="237" spans="1:4" x14ac:dyDescent="0.2">
      <c r="A237" s="409"/>
      <c r="B237" s="407"/>
      <c r="C237" s="408"/>
      <c r="D237" s="408"/>
    </row>
    <row r="238" spans="1:4" x14ac:dyDescent="0.2">
      <c r="A238" s="409"/>
      <c r="B238" s="407"/>
      <c r="C238" s="408"/>
      <c r="D238" s="408"/>
    </row>
    <row r="239" spans="1:4" x14ac:dyDescent="0.2">
      <c r="A239" s="409"/>
      <c r="B239" s="407"/>
      <c r="C239" s="408"/>
      <c r="D239" s="408"/>
    </row>
    <row r="240" spans="1:4" x14ac:dyDescent="0.2">
      <c r="A240" s="409"/>
      <c r="B240" s="407"/>
      <c r="C240" s="408"/>
      <c r="D240" s="408"/>
    </row>
    <row r="241" spans="1:4" x14ac:dyDescent="0.2">
      <c r="A241" s="409"/>
      <c r="B241" s="407"/>
      <c r="C241" s="408"/>
      <c r="D241" s="408"/>
    </row>
    <row r="242" spans="1:4" x14ac:dyDescent="0.2">
      <c r="A242" s="409"/>
      <c r="B242" s="407"/>
      <c r="C242" s="408"/>
      <c r="D242" s="408"/>
    </row>
    <row r="243" spans="1:4" x14ac:dyDescent="0.2">
      <c r="A243" s="409"/>
      <c r="B243" s="407"/>
      <c r="C243" s="408"/>
      <c r="D243" s="408"/>
    </row>
    <row r="244" spans="1:4" x14ac:dyDescent="0.2">
      <c r="A244" s="409"/>
      <c r="B244" s="407"/>
      <c r="C244" s="408"/>
      <c r="D244" s="408"/>
    </row>
    <row r="245" spans="1:4" x14ac:dyDescent="0.2">
      <c r="A245" s="409"/>
      <c r="B245" s="407"/>
      <c r="C245" s="408"/>
      <c r="D245" s="408"/>
    </row>
    <row r="246" spans="1:4" x14ac:dyDescent="0.2">
      <c r="A246" s="409"/>
      <c r="B246" s="407"/>
      <c r="C246" s="408"/>
      <c r="D246" s="408"/>
    </row>
    <row r="247" spans="1:4" x14ac:dyDescent="0.2">
      <c r="A247" s="409"/>
      <c r="B247" s="407"/>
      <c r="C247" s="408"/>
      <c r="D247" s="408"/>
    </row>
    <row r="248" spans="1:4" x14ac:dyDescent="0.2">
      <c r="A248" s="409"/>
      <c r="B248" s="407"/>
      <c r="C248" s="408"/>
      <c r="D248" s="408"/>
    </row>
    <row r="249" spans="1:4" x14ac:dyDescent="0.2">
      <c r="A249" s="409"/>
      <c r="B249" s="407"/>
      <c r="C249" s="408"/>
      <c r="D249" s="408"/>
    </row>
    <row r="250" spans="1:4" x14ac:dyDescent="0.2">
      <c r="A250" s="409"/>
      <c r="B250" s="407"/>
      <c r="C250" s="408"/>
      <c r="D250" s="408"/>
    </row>
    <row r="251" spans="1:4" x14ac:dyDescent="0.2">
      <c r="A251" s="409"/>
      <c r="B251" s="407"/>
      <c r="C251" s="408"/>
      <c r="D251" s="408"/>
    </row>
    <row r="252" spans="1:4" x14ac:dyDescent="0.2">
      <c r="A252" s="409"/>
      <c r="B252" s="407"/>
      <c r="C252" s="408"/>
      <c r="D252" s="408"/>
    </row>
    <row r="253" spans="1:4" x14ac:dyDescent="0.2">
      <c r="A253" s="409"/>
      <c r="B253" s="407"/>
      <c r="C253" s="408"/>
      <c r="D253" s="408"/>
    </row>
    <row r="254" spans="1:4" x14ac:dyDescent="0.2">
      <c r="A254" s="409"/>
      <c r="B254" s="407"/>
      <c r="C254" s="408"/>
      <c r="D254" s="408"/>
    </row>
    <row r="255" spans="1:4" x14ac:dyDescent="0.2">
      <c r="A255" s="409"/>
      <c r="B255" s="407"/>
      <c r="C255" s="408"/>
      <c r="D255" s="408"/>
    </row>
    <row r="256" spans="1:4" x14ac:dyDescent="0.2">
      <c r="A256" s="409"/>
      <c r="B256" s="407"/>
      <c r="C256" s="408"/>
      <c r="D256" s="408"/>
    </row>
    <row r="257" spans="1:4" x14ac:dyDescent="0.2">
      <c r="A257" s="409"/>
      <c r="B257" s="407"/>
      <c r="C257" s="408"/>
      <c r="D257" s="408"/>
    </row>
    <row r="258" spans="1:4" x14ac:dyDescent="0.2">
      <c r="A258" s="409"/>
      <c r="B258" s="407"/>
      <c r="C258" s="408"/>
      <c r="D258" s="408"/>
    </row>
    <row r="259" spans="1:4" x14ac:dyDescent="0.2">
      <c r="A259" s="409"/>
      <c r="B259" s="407"/>
      <c r="C259" s="408"/>
      <c r="D259" s="408"/>
    </row>
    <row r="260" spans="1:4" x14ac:dyDescent="0.2">
      <c r="A260" s="409"/>
      <c r="B260" s="407"/>
      <c r="C260" s="408"/>
      <c r="D260" s="408"/>
    </row>
    <row r="261" spans="1:4" x14ac:dyDescent="0.2">
      <c r="A261" s="409"/>
      <c r="B261" s="407"/>
      <c r="C261" s="408"/>
      <c r="D261" s="408"/>
    </row>
    <row r="262" spans="1:4" x14ac:dyDescent="0.2">
      <c r="A262" s="409"/>
      <c r="B262" s="407"/>
      <c r="C262" s="408"/>
      <c r="D262" s="408"/>
    </row>
    <row r="263" spans="1:4" x14ac:dyDescent="0.2">
      <c r="A263" s="409"/>
      <c r="B263" s="407"/>
      <c r="C263" s="408"/>
      <c r="D263" s="408"/>
    </row>
    <row r="264" spans="1:4" x14ac:dyDescent="0.2">
      <c r="A264" s="409"/>
      <c r="B264" s="407"/>
      <c r="C264" s="408"/>
      <c r="D264" s="408"/>
    </row>
    <row r="265" spans="1:4" x14ac:dyDescent="0.2">
      <c r="A265" s="409"/>
      <c r="B265" s="407"/>
      <c r="C265" s="408"/>
      <c r="D265" s="408"/>
    </row>
    <row r="266" spans="1:4" x14ac:dyDescent="0.2">
      <c r="A266" s="409"/>
      <c r="B266" s="407"/>
      <c r="C266" s="408"/>
      <c r="D266" s="408"/>
    </row>
    <row r="267" spans="1:4" x14ac:dyDescent="0.2">
      <c r="A267" s="409"/>
      <c r="B267" s="407"/>
      <c r="C267" s="408"/>
      <c r="D267" s="408"/>
    </row>
    <row r="268" spans="1:4" x14ac:dyDescent="0.2">
      <c r="A268" s="409"/>
      <c r="B268" s="407"/>
      <c r="C268" s="408"/>
      <c r="D268" s="408"/>
    </row>
    <row r="269" spans="1:4" x14ac:dyDescent="0.2">
      <c r="A269" s="409"/>
      <c r="B269" s="407"/>
      <c r="C269" s="408"/>
      <c r="D269" s="408"/>
    </row>
    <row r="270" spans="1:4" x14ac:dyDescent="0.2">
      <c r="A270" s="409"/>
      <c r="B270" s="407"/>
      <c r="C270" s="408"/>
      <c r="D270" s="408"/>
    </row>
    <row r="271" spans="1:4" x14ac:dyDescent="0.2">
      <c r="A271" s="409"/>
      <c r="B271" s="407"/>
      <c r="C271" s="408"/>
      <c r="D271" s="408"/>
    </row>
    <row r="272" spans="1:4" x14ac:dyDescent="0.2">
      <c r="A272" s="409"/>
      <c r="B272" s="407"/>
      <c r="C272" s="408"/>
      <c r="D272" s="408"/>
    </row>
    <row r="273" spans="1:4" x14ac:dyDescent="0.2">
      <c r="A273" s="409"/>
      <c r="B273" s="407"/>
      <c r="C273" s="408"/>
      <c r="D273" s="408"/>
    </row>
    <row r="274" spans="1:4" x14ac:dyDescent="0.2">
      <c r="A274" s="409"/>
      <c r="B274" s="407"/>
      <c r="C274" s="408"/>
      <c r="D274" s="408"/>
    </row>
    <row r="275" spans="1:4" x14ac:dyDescent="0.2">
      <c r="A275" s="409"/>
      <c r="B275" s="407"/>
      <c r="C275" s="408"/>
      <c r="D275" s="408"/>
    </row>
    <row r="276" spans="1:4" x14ac:dyDescent="0.2">
      <c r="A276" s="409"/>
      <c r="B276" s="407"/>
      <c r="C276" s="408"/>
      <c r="D276" s="408"/>
    </row>
    <row r="277" spans="1:4" x14ac:dyDescent="0.2">
      <c r="A277" s="409"/>
      <c r="B277" s="407"/>
      <c r="C277" s="408"/>
      <c r="D277" s="408"/>
    </row>
    <row r="278" spans="1:4" x14ac:dyDescent="0.2">
      <c r="A278" s="409"/>
      <c r="B278" s="407"/>
      <c r="C278" s="408"/>
      <c r="D278" s="408"/>
    </row>
    <row r="279" spans="1:4" x14ac:dyDescent="0.2">
      <c r="A279" s="409"/>
      <c r="B279" s="407"/>
      <c r="C279" s="408"/>
      <c r="D279" s="408"/>
    </row>
    <row r="280" spans="1:4" x14ac:dyDescent="0.2">
      <c r="A280" s="409"/>
      <c r="B280" s="407"/>
      <c r="C280" s="408"/>
      <c r="D280" s="408"/>
    </row>
    <row r="281" spans="1:4" x14ac:dyDescent="0.2">
      <c r="A281" s="409"/>
      <c r="B281" s="407"/>
      <c r="C281" s="408"/>
      <c r="D281" s="408"/>
    </row>
    <row r="282" spans="1:4" x14ac:dyDescent="0.2">
      <c r="A282" s="409"/>
      <c r="B282" s="407"/>
      <c r="C282" s="408"/>
      <c r="D282" s="408"/>
    </row>
    <row r="283" spans="1:4" x14ac:dyDescent="0.2">
      <c r="A283" s="409"/>
      <c r="B283" s="407"/>
      <c r="C283" s="408"/>
      <c r="D283" s="408"/>
    </row>
    <row r="284" spans="1:4" x14ac:dyDescent="0.2">
      <c r="A284" s="409"/>
      <c r="B284" s="407"/>
      <c r="C284" s="408"/>
      <c r="D284" s="408"/>
    </row>
    <row r="285" spans="1:4" x14ac:dyDescent="0.2">
      <c r="A285" s="409"/>
      <c r="B285" s="407"/>
      <c r="C285" s="408"/>
      <c r="D285" s="408"/>
    </row>
    <row r="286" spans="1:4" x14ac:dyDescent="0.2">
      <c r="A286" s="409"/>
      <c r="B286" s="407"/>
      <c r="C286" s="408"/>
      <c r="D286" s="408"/>
    </row>
    <row r="287" spans="1:4" x14ac:dyDescent="0.2">
      <c r="A287" s="409"/>
      <c r="B287" s="407"/>
      <c r="C287" s="408"/>
      <c r="D287" s="408"/>
    </row>
    <row r="288" spans="1:4" x14ac:dyDescent="0.2">
      <c r="A288" s="409"/>
      <c r="B288" s="407"/>
      <c r="C288" s="408"/>
      <c r="D288" s="408"/>
    </row>
    <row r="289" spans="1:4" x14ac:dyDescent="0.2">
      <c r="A289" s="409"/>
      <c r="B289" s="407"/>
      <c r="C289" s="408"/>
      <c r="D289" s="408"/>
    </row>
    <row r="290" spans="1:4" x14ac:dyDescent="0.2">
      <c r="A290" s="409"/>
      <c r="B290" s="407"/>
      <c r="C290" s="408"/>
      <c r="D290" s="408"/>
    </row>
    <row r="291" spans="1:4" x14ac:dyDescent="0.2">
      <c r="A291" s="409"/>
      <c r="B291" s="407"/>
      <c r="C291" s="408"/>
      <c r="D291" s="408"/>
    </row>
    <row r="292" spans="1:4" x14ac:dyDescent="0.2">
      <c r="A292" s="409"/>
      <c r="B292" s="407"/>
      <c r="C292" s="408"/>
      <c r="D292" s="408"/>
    </row>
    <row r="293" spans="1:4" x14ac:dyDescent="0.2">
      <c r="A293" s="409"/>
      <c r="B293" s="407"/>
      <c r="C293" s="408"/>
      <c r="D293" s="408"/>
    </row>
    <row r="294" spans="1:4" x14ac:dyDescent="0.2">
      <c r="A294" s="409"/>
      <c r="B294" s="407"/>
      <c r="C294" s="408"/>
      <c r="D294" s="408"/>
    </row>
    <row r="295" spans="1:4" x14ac:dyDescent="0.2">
      <c r="A295" s="409"/>
      <c r="B295" s="407"/>
      <c r="C295" s="408"/>
      <c r="D295" s="408"/>
    </row>
    <row r="296" spans="1:4" x14ac:dyDescent="0.2">
      <c r="A296" s="409"/>
      <c r="B296" s="407"/>
      <c r="C296" s="408"/>
      <c r="D296" s="408"/>
    </row>
    <row r="297" spans="1:4" x14ac:dyDescent="0.2">
      <c r="A297" s="409"/>
      <c r="B297" s="407"/>
      <c r="C297" s="408"/>
      <c r="D297" s="408"/>
    </row>
    <row r="298" spans="1:4" x14ac:dyDescent="0.2">
      <c r="A298" s="409"/>
      <c r="B298" s="407"/>
      <c r="C298" s="408"/>
      <c r="D298" s="408"/>
    </row>
    <row r="299" spans="1:4" x14ac:dyDescent="0.2">
      <c r="A299" s="409"/>
      <c r="B299" s="407"/>
      <c r="C299" s="408"/>
      <c r="D299" s="408"/>
    </row>
    <row r="300" spans="1:4" x14ac:dyDescent="0.2">
      <c r="A300" s="409"/>
      <c r="B300" s="407"/>
      <c r="C300" s="408"/>
      <c r="D300" s="408"/>
    </row>
    <row r="301" spans="1:4" x14ac:dyDescent="0.2">
      <c r="A301" s="409"/>
      <c r="B301" s="407"/>
      <c r="C301" s="408"/>
      <c r="D301" s="408"/>
    </row>
    <row r="302" spans="1:4" x14ac:dyDescent="0.2">
      <c r="A302" s="409"/>
      <c r="B302" s="407"/>
      <c r="C302" s="408"/>
      <c r="D302" s="408"/>
    </row>
    <row r="303" spans="1:4" x14ac:dyDescent="0.2">
      <c r="A303" s="409"/>
      <c r="B303" s="407"/>
      <c r="C303" s="408"/>
      <c r="D303" s="408"/>
    </row>
    <row r="304" spans="1:4" x14ac:dyDescent="0.2">
      <c r="A304" s="409"/>
      <c r="B304" s="407"/>
      <c r="C304" s="408"/>
      <c r="D304" s="408"/>
    </row>
    <row r="305" spans="1:4" x14ac:dyDescent="0.2">
      <c r="A305" s="409"/>
      <c r="B305" s="407"/>
      <c r="C305" s="408"/>
      <c r="D305" s="408"/>
    </row>
    <row r="306" spans="1:4" x14ac:dyDescent="0.2">
      <c r="A306" s="409"/>
      <c r="B306" s="407"/>
      <c r="C306" s="408"/>
      <c r="D306" s="408"/>
    </row>
    <row r="307" spans="1:4" x14ac:dyDescent="0.2">
      <c r="A307" s="409"/>
      <c r="B307" s="407"/>
      <c r="C307" s="408"/>
      <c r="D307" s="408"/>
    </row>
    <row r="308" spans="1:4" x14ac:dyDescent="0.2">
      <c r="A308" s="409"/>
      <c r="B308" s="407"/>
      <c r="C308" s="408"/>
      <c r="D308" s="408"/>
    </row>
    <row r="309" spans="1:4" x14ac:dyDescent="0.2">
      <c r="A309" s="409"/>
      <c r="B309" s="407"/>
      <c r="C309" s="408"/>
      <c r="D309" s="408"/>
    </row>
    <row r="310" spans="1:4" x14ac:dyDescent="0.2">
      <c r="A310" s="409"/>
      <c r="B310" s="407"/>
      <c r="C310" s="408"/>
      <c r="D310" s="408"/>
    </row>
    <row r="311" spans="1:4" x14ac:dyDescent="0.2">
      <c r="A311" s="409"/>
      <c r="B311" s="407"/>
      <c r="C311" s="408"/>
      <c r="D311" s="408"/>
    </row>
    <row r="312" spans="1:4" x14ac:dyDescent="0.2">
      <c r="A312" s="409"/>
      <c r="B312" s="407"/>
      <c r="C312" s="408"/>
      <c r="D312" s="408"/>
    </row>
    <row r="313" spans="1:4" x14ac:dyDescent="0.2">
      <c r="A313" s="409"/>
      <c r="B313" s="407"/>
      <c r="C313" s="408"/>
      <c r="D313" s="408"/>
    </row>
    <row r="314" spans="1:4" x14ac:dyDescent="0.2">
      <c r="A314" s="409"/>
      <c r="B314" s="407"/>
      <c r="C314" s="408"/>
      <c r="D314" s="408"/>
    </row>
    <row r="315" spans="1:4" x14ac:dyDescent="0.2">
      <c r="A315" s="409"/>
      <c r="B315" s="407"/>
      <c r="C315" s="408"/>
      <c r="D315" s="408"/>
    </row>
    <row r="316" spans="1:4" x14ac:dyDescent="0.2">
      <c r="A316" s="409"/>
      <c r="B316" s="407"/>
      <c r="C316" s="408"/>
      <c r="D316" s="408"/>
    </row>
    <row r="317" spans="1:4" x14ac:dyDescent="0.2">
      <c r="A317" s="409"/>
      <c r="B317" s="407"/>
      <c r="C317" s="408"/>
      <c r="D317" s="408"/>
    </row>
    <row r="318" spans="1:4" x14ac:dyDescent="0.2">
      <c r="A318" s="409"/>
      <c r="B318" s="407"/>
      <c r="C318" s="408"/>
      <c r="D318" s="408"/>
    </row>
    <row r="319" spans="1:4" x14ac:dyDescent="0.2">
      <c r="A319" s="409"/>
      <c r="B319" s="407"/>
      <c r="C319" s="408"/>
      <c r="D319" s="408"/>
    </row>
    <row r="320" spans="1:4" x14ac:dyDescent="0.2">
      <c r="A320" s="409"/>
      <c r="B320" s="407"/>
      <c r="C320" s="408"/>
      <c r="D320" s="408"/>
    </row>
    <row r="321" spans="1:4" x14ac:dyDescent="0.2">
      <c r="A321" s="409"/>
      <c r="B321" s="407"/>
      <c r="C321" s="408"/>
      <c r="D321" s="408"/>
    </row>
    <row r="322" spans="1:4" x14ac:dyDescent="0.2">
      <c r="A322" s="409"/>
      <c r="B322" s="407"/>
      <c r="C322" s="408"/>
      <c r="D322" s="408"/>
    </row>
    <row r="323" spans="1:4" x14ac:dyDescent="0.2">
      <c r="A323" s="409"/>
      <c r="B323" s="407"/>
      <c r="C323" s="408"/>
      <c r="D323" s="408"/>
    </row>
    <row r="324" spans="1:4" x14ac:dyDescent="0.2">
      <c r="A324" s="409"/>
      <c r="B324" s="407"/>
      <c r="C324" s="408"/>
      <c r="D324" s="408"/>
    </row>
    <row r="325" spans="1:4" x14ac:dyDescent="0.2">
      <c r="A325" s="409"/>
      <c r="B325" s="407"/>
      <c r="C325" s="408"/>
      <c r="D325" s="408"/>
    </row>
    <row r="326" spans="1:4" x14ac:dyDescent="0.2">
      <c r="A326" s="409"/>
      <c r="B326" s="407"/>
      <c r="C326" s="408"/>
      <c r="D326" s="408"/>
    </row>
    <row r="327" spans="1:4" x14ac:dyDescent="0.2">
      <c r="A327" s="409"/>
      <c r="B327" s="407"/>
      <c r="C327" s="408"/>
      <c r="D327" s="408"/>
    </row>
    <row r="328" spans="1:4" x14ac:dyDescent="0.2">
      <c r="A328" s="409"/>
      <c r="B328" s="407"/>
      <c r="C328" s="408"/>
      <c r="D328" s="408"/>
    </row>
    <row r="329" spans="1:4" x14ac:dyDescent="0.2">
      <c r="A329" s="409"/>
      <c r="B329" s="407"/>
      <c r="C329" s="408"/>
      <c r="D329" s="408"/>
    </row>
    <row r="330" spans="1:4" x14ac:dyDescent="0.2">
      <c r="A330" s="409"/>
      <c r="B330" s="407"/>
      <c r="C330" s="408"/>
      <c r="D330" s="408"/>
    </row>
    <row r="331" spans="1:4" x14ac:dyDescent="0.2">
      <c r="A331" s="409"/>
      <c r="B331" s="407"/>
      <c r="C331" s="408"/>
      <c r="D331" s="408"/>
    </row>
    <row r="332" spans="1:4" x14ac:dyDescent="0.2">
      <c r="A332" s="409"/>
      <c r="B332" s="407"/>
      <c r="C332" s="408"/>
      <c r="D332" s="408"/>
    </row>
    <row r="333" spans="1:4" x14ac:dyDescent="0.2">
      <c r="A333" s="409"/>
      <c r="B333" s="407"/>
      <c r="C333" s="408"/>
      <c r="D333" s="408"/>
    </row>
    <row r="334" spans="1:4" x14ac:dyDescent="0.2">
      <c r="A334" s="409"/>
      <c r="B334" s="407"/>
      <c r="C334" s="408"/>
      <c r="D334" s="408"/>
    </row>
    <row r="335" spans="1:4" x14ac:dyDescent="0.2">
      <c r="A335" s="409"/>
      <c r="B335" s="407"/>
      <c r="C335" s="408"/>
      <c r="D335" s="408"/>
    </row>
    <row r="336" spans="1:4" x14ac:dyDescent="0.2">
      <c r="A336" s="409"/>
      <c r="B336" s="407"/>
      <c r="C336" s="408"/>
      <c r="D336" s="408"/>
    </row>
    <row r="337" spans="1:4" x14ac:dyDescent="0.2">
      <c r="A337" s="409"/>
      <c r="B337" s="407"/>
      <c r="C337" s="408"/>
      <c r="D337" s="408"/>
    </row>
    <row r="338" spans="1:4" x14ac:dyDescent="0.2">
      <c r="A338" s="409"/>
      <c r="B338" s="407"/>
      <c r="C338" s="408"/>
      <c r="D338" s="408"/>
    </row>
    <row r="339" spans="1:4" x14ac:dyDescent="0.2">
      <c r="A339" s="409"/>
      <c r="B339" s="407"/>
      <c r="C339" s="408"/>
      <c r="D339" s="408"/>
    </row>
    <row r="340" spans="1:4" x14ac:dyDescent="0.2">
      <c r="A340" s="409"/>
      <c r="B340" s="407"/>
      <c r="C340" s="408"/>
      <c r="D340" s="408"/>
    </row>
    <row r="341" spans="1:4" x14ac:dyDescent="0.2">
      <c r="A341" s="409"/>
      <c r="B341" s="407"/>
      <c r="C341" s="408"/>
      <c r="D341" s="408"/>
    </row>
    <row r="342" spans="1:4" x14ac:dyDescent="0.2">
      <c r="A342" s="409"/>
      <c r="B342" s="407"/>
      <c r="C342" s="408"/>
      <c r="D342" s="408"/>
    </row>
    <row r="343" spans="1:4" x14ac:dyDescent="0.2">
      <c r="A343" s="409"/>
      <c r="B343" s="407"/>
      <c r="C343" s="408"/>
      <c r="D343" s="408"/>
    </row>
    <row r="344" spans="1:4" x14ac:dyDescent="0.2">
      <c r="A344" s="409"/>
      <c r="B344" s="407"/>
      <c r="C344" s="408"/>
      <c r="D344" s="408"/>
    </row>
    <row r="345" spans="1:4" x14ac:dyDescent="0.2">
      <c r="A345" s="409"/>
      <c r="B345" s="407"/>
      <c r="C345" s="408"/>
      <c r="D345" s="408"/>
    </row>
    <row r="346" spans="1:4" x14ac:dyDescent="0.2">
      <c r="A346" s="409"/>
      <c r="B346" s="407"/>
      <c r="C346" s="408"/>
      <c r="D346" s="408"/>
    </row>
    <row r="347" spans="1:4" x14ac:dyDescent="0.2">
      <c r="A347" s="409"/>
      <c r="B347" s="407"/>
      <c r="C347" s="408"/>
      <c r="D347" s="408"/>
    </row>
    <row r="348" spans="1:4" x14ac:dyDescent="0.2">
      <c r="A348" s="409"/>
      <c r="B348" s="407"/>
      <c r="C348" s="408"/>
      <c r="D348" s="408"/>
    </row>
    <row r="349" spans="1:4" x14ac:dyDescent="0.2">
      <c r="A349" s="409"/>
      <c r="B349" s="407"/>
      <c r="C349" s="408"/>
      <c r="D349" s="408"/>
    </row>
    <row r="350" spans="1:4" x14ac:dyDescent="0.2">
      <c r="A350" s="409"/>
      <c r="B350" s="407"/>
      <c r="C350" s="408"/>
      <c r="D350" s="408"/>
    </row>
    <row r="351" spans="1:4" x14ac:dyDescent="0.2">
      <c r="A351" s="409"/>
      <c r="B351" s="407"/>
      <c r="C351" s="408"/>
      <c r="D351" s="408"/>
    </row>
    <row r="352" spans="1:4" x14ac:dyDescent="0.2">
      <c r="A352" s="409"/>
      <c r="B352" s="407"/>
      <c r="C352" s="408"/>
      <c r="D352" s="408"/>
    </row>
    <row r="353" spans="1:4" x14ac:dyDescent="0.2">
      <c r="A353" s="409"/>
      <c r="B353" s="407"/>
      <c r="C353" s="408"/>
      <c r="D353" s="408"/>
    </row>
    <row r="354" spans="1:4" x14ac:dyDescent="0.2">
      <c r="A354" s="409"/>
      <c r="B354" s="407"/>
      <c r="C354" s="408"/>
      <c r="D354" s="408"/>
    </row>
    <row r="355" spans="1:4" x14ac:dyDescent="0.2">
      <c r="A355" s="409"/>
      <c r="B355" s="407"/>
      <c r="C355" s="408"/>
      <c r="D355" s="408"/>
    </row>
    <row r="356" spans="1:4" x14ac:dyDescent="0.2">
      <c r="A356" s="409"/>
      <c r="B356" s="407"/>
      <c r="C356" s="408"/>
      <c r="D356" s="408"/>
    </row>
    <row r="357" spans="1:4" x14ac:dyDescent="0.2">
      <c r="A357" s="409"/>
      <c r="B357" s="407"/>
      <c r="C357" s="408"/>
      <c r="D357" s="408"/>
    </row>
    <row r="358" spans="1:4" x14ac:dyDescent="0.2">
      <c r="A358" s="409"/>
      <c r="B358" s="407"/>
      <c r="C358" s="408"/>
      <c r="D358" s="408"/>
    </row>
    <row r="359" spans="1:4" x14ac:dyDescent="0.2">
      <c r="A359" s="409"/>
      <c r="B359" s="407"/>
      <c r="C359" s="408"/>
      <c r="D359" s="408"/>
    </row>
    <row r="360" spans="1:4" x14ac:dyDescent="0.2">
      <c r="A360" s="409"/>
      <c r="B360" s="407"/>
      <c r="C360" s="408"/>
      <c r="D360" s="408"/>
    </row>
    <row r="361" spans="1:4" x14ac:dyDescent="0.2">
      <c r="A361" s="409"/>
      <c r="B361" s="407"/>
      <c r="C361" s="408"/>
      <c r="D361" s="408"/>
    </row>
    <row r="362" spans="1:4" x14ac:dyDescent="0.2">
      <c r="A362" s="409"/>
      <c r="B362" s="407"/>
      <c r="C362" s="408"/>
      <c r="D362" s="408"/>
    </row>
    <row r="363" spans="1:4" x14ac:dyDescent="0.2">
      <c r="A363" s="409"/>
      <c r="B363" s="407"/>
      <c r="C363" s="408"/>
      <c r="D363" s="408"/>
    </row>
    <row r="364" spans="1:4" x14ac:dyDescent="0.2">
      <c r="A364" s="409"/>
      <c r="B364" s="407"/>
      <c r="C364" s="408"/>
      <c r="D364" s="408"/>
    </row>
    <row r="365" spans="1:4" x14ac:dyDescent="0.2">
      <c r="A365" s="409"/>
      <c r="B365" s="407"/>
      <c r="C365" s="408"/>
      <c r="D365" s="408"/>
    </row>
    <row r="366" spans="1:4" x14ac:dyDescent="0.2">
      <c r="A366" s="409"/>
      <c r="B366" s="407"/>
      <c r="C366" s="408"/>
      <c r="D366" s="408"/>
    </row>
    <row r="367" spans="1:4" x14ac:dyDescent="0.2">
      <c r="A367" s="409"/>
      <c r="B367" s="407"/>
      <c r="C367" s="408"/>
      <c r="D367" s="408"/>
    </row>
    <row r="368" spans="1:4" x14ac:dyDescent="0.2">
      <c r="A368" s="409"/>
      <c r="B368" s="407"/>
      <c r="C368" s="408"/>
      <c r="D368" s="408"/>
    </row>
    <row r="369" spans="1:4" x14ac:dyDescent="0.2">
      <c r="A369" s="409"/>
      <c r="B369" s="407"/>
      <c r="C369" s="408"/>
      <c r="D369" s="408"/>
    </row>
    <row r="370" spans="1:4" x14ac:dyDescent="0.2">
      <c r="A370" s="409"/>
      <c r="B370" s="407"/>
      <c r="C370" s="408"/>
      <c r="D370" s="408"/>
    </row>
    <row r="371" spans="1:4" x14ac:dyDescent="0.2">
      <c r="A371" s="409"/>
      <c r="B371" s="407"/>
      <c r="C371" s="408"/>
      <c r="D371" s="408"/>
    </row>
    <row r="372" spans="1:4" x14ac:dyDescent="0.2">
      <c r="A372" s="409"/>
      <c r="B372" s="407"/>
      <c r="C372" s="408"/>
      <c r="D372" s="408"/>
    </row>
    <row r="373" spans="1:4" x14ac:dyDescent="0.2">
      <c r="A373" s="409"/>
      <c r="B373" s="407"/>
      <c r="C373" s="408"/>
      <c r="D373" s="408"/>
    </row>
    <row r="374" spans="1:4" x14ac:dyDescent="0.2">
      <c r="A374" s="409"/>
      <c r="B374" s="407"/>
      <c r="C374" s="408"/>
      <c r="D374" s="408"/>
    </row>
    <row r="375" spans="1:4" x14ac:dyDescent="0.2">
      <c r="A375" s="409"/>
      <c r="B375" s="407"/>
      <c r="C375" s="408"/>
      <c r="D375" s="408"/>
    </row>
    <row r="376" spans="1:4" x14ac:dyDescent="0.2">
      <c r="A376" s="409"/>
      <c r="B376" s="407"/>
      <c r="C376" s="408"/>
      <c r="D376" s="408"/>
    </row>
    <row r="377" spans="1:4" x14ac:dyDescent="0.2">
      <c r="A377" s="409"/>
      <c r="B377" s="407"/>
      <c r="C377" s="408"/>
      <c r="D377" s="408"/>
    </row>
    <row r="378" spans="1:4" x14ac:dyDescent="0.2">
      <c r="A378" s="409"/>
      <c r="B378" s="407"/>
      <c r="C378" s="408"/>
      <c r="D378" s="408"/>
    </row>
    <row r="379" spans="1:4" x14ac:dyDescent="0.2">
      <c r="A379" s="409"/>
      <c r="B379" s="407"/>
      <c r="C379" s="408"/>
      <c r="D379" s="408"/>
    </row>
    <row r="380" spans="1:4" x14ac:dyDescent="0.2">
      <c r="A380" s="409"/>
      <c r="B380" s="407"/>
      <c r="C380" s="408"/>
      <c r="D380" s="408"/>
    </row>
    <row r="381" spans="1:4" x14ac:dyDescent="0.2">
      <c r="A381" s="408"/>
      <c r="B381" s="407"/>
      <c r="C381" s="408"/>
      <c r="D381" s="408"/>
    </row>
    <row r="382" spans="1:4" x14ac:dyDescent="0.2">
      <c r="A382" s="408"/>
      <c r="B382" s="407"/>
      <c r="C382" s="408"/>
      <c r="D382" s="408"/>
    </row>
    <row r="383" spans="1:4" x14ac:dyDescent="0.2">
      <c r="A383" s="408"/>
      <c r="B383" s="407"/>
      <c r="C383" s="408"/>
      <c r="D383" s="408"/>
    </row>
    <row r="384" spans="1:4" x14ac:dyDescent="0.2">
      <c r="A384" s="408"/>
      <c r="B384" s="407"/>
      <c r="C384" s="408"/>
      <c r="D384" s="408"/>
    </row>
    <row r="385" spans="1:4" x14ac:dyDescent="0.2">
      <c r="A385" s="408"/>
      <c r="B385" s="407"/>
      <c r="C385" s="408"/>
      <c r="D385" s="408"/>
    </row>
    <row r="386" spans="1:4" x14ac:dyDescent="0.2">
      <c r="A386" s="408"/>
      <c r="B386" s="407"/>
      <c r="C386" s="408"/>
      <c r="D386" s="408"/>
    </row>
    <row r="387" spans="1:4" x14ac:dyDescent="0.2">
      <c r="A387" s="408"/>
      <c r="B387" s="407"/>
      <c r="C387" s="408"/>
      <c r="D387" s="408"/>
    </row>
    <row r="388" spans="1:4" x14ac:dyDescent="0.2">
      <c r="A388" s="408"/>
      <c r="B388" s="407"/>
      <c r="C388" s="408"/>
      <c r="D388" s="408"/>
    </row>
    <row r="389" spans="1:4" x14ac:dyDescent="0.2">
      <c r="A389" s="408"/>
      <c r="B389" s="407"/>
      <c r="C389" s="408"/>
      <c r="D389" s="408"/>
    </row>
    <row r="390" spans="1:4" x14ac:dyDescent="0.2">
      <c r="A390" s="408"/>
      <c r="B390" s="407"/>
      <c r="C390" s="408"/>
      <c r="D390" s="408"/>
    </row>
    <row r="391" spans="1:4" x14ac:dyDescent="0.2">
      <c r="A391" s="408"/>
      <c r="B391" s="407"/>
      <c r="C391" s="408"/>
      <c r="D391" s="408"/>
    </row>
    <row r="392" spans="1:4" x14ac:dyDescent="0.2">
      <c r="A392" s="408"/>
      <c r="B392" s="407"/>
      <c r="C392" s="408"/>
      <c r="D392" s="408"/>
    </row>
    <row r="393" spans="1:4" x14ac:dyDescent="0.2">
      <c r="A393" s="408"/>
      <c r="B393" s="407"/>
      <c r="C393" s="408"/>
      <c r="D393" s="408"/>
    </row>
    <row r="394" spans="1:4" x14ac:dyDescent="0.2">
      <c r="A394" s="408"/>
      <c r="B394" s="407"/>
      <c r="C394" s="408"/>
      <c r="D394" s="408"/>
    </row>
    <row r="395" spans="1:4" x14ac:dyDescent="0.2">
      <c r="A395" s="408"/>
      <c r="B395" s="407"/>
      <c r="C395" s="408"/>
      <c r="D395" s="408"/>
    </row>
    <row r="396" spans="1:4" x14ac:dyDescent="0.2">
      <c r="A396" s="408"/>
      <c r="B396" s="407"/>
      <c r="C396" s="408"/>
      <c r="D396" s="408"/>
    </row>
    <row r="397" spans="1:4" x14ac:dyDescent="0.2">
      <c r="A397" s="408"/>
      <c r="B397" s="407"/>
      <c r="C397" s="408"/>
      <c r="D397" s="408"/>
    </row>
    <row r="398" spans="1:4" x14ac:dyDescent="0.2">
      <c r="A398" s="408"/>
      <c r="B398" s="407"/>
      <c r="C398" s="408"/>
      <c r="D398" s="408"/>
    </row>
    <row r="399" spans="1:4" x14ac:dyDescent="0.2">
      <c r="A399" s="408"/>
      <c r="B399" s="407"/>
      <c r="C399" s="408"/>
      <c r="D399" s="408"/>
    </row>
    <row r="400" spans="1:4" x14ac:dyDescent="0.2">
      <c r="A400" s="408"/>
      <c r="B400" s="407"/>
      <c r="C400" s="408"/>
      <c r="D400" s="408"/>
    </row>
    <row r="401" spans="1:4" x14ac:dyDescent="0.2">
      <c r="A401" s="408"/>
      <c r="B401" s="407"/>
      <c r="C401" s="408"/>
      <c r="D401" s="408"/>
    </row>
    <row r="402" spans="1:4" x14ac:dyDescent="0.2">
      <c r="A402" s="408"/>
      <c r="B402" s="407"/>
      <c r="C402" s="408"/>
      <c r="D402" s="408"/>
    </row>
    <row r="403" spans="1:4" x14ac:dyDescent="0.2">
      <c r="A403" s="408"/>
      <c r="B403" s="407"/>
      <c r="C403" s="408"/>
      <c r="D403" s="408"/>
    </row>
    <row r="404" spans="1:4" x14ac:dyDescent="0.2">
      <c r="A404" s="408"/>
      <c r="B404" s="407"/>
      <c r="C404" s="408"/>
      <c r="D404" s="408"/>
    </row>
    <row r="405" spans="1:4" x14ac:dyDescent="0.2">
      <c r="A405" s="408"/>
      <c r="B405" s="407"/>
      <c r="C405" s="408"/>
      <c r="D405" s="408"/>
    </row>
    <row r="406" spans="1:4" x14ac:dyDescent="0.2">
      <c r="A406" s="408"/>
      <c r="B406" s="407"/>
      <c r="C406" s="408"/>
      <c r="D406" s="408"/>
    </row>
    <row r="407" spans="1:4" x14ac:dyDescent="0.2">
      <c r="A407" s="408"/>
      <c r="B407" s="407"/>
      <c r="C407" s="408"/>
      <c r="D407" s="408"/>
    </row>
    <row r="408" spans="1:4" x14ac:dyDescent="0.2">
      <c r="A408" s="408"/>
      <c r="B408" s="407"/>
      <c r="C408" s="408"/>
      <c r="D408" s="408"/>
    </row>
    <row r="409" spans="1:4" x14ac:dyDescent="0.2">
      <c r="A409" s="408"/>
      <c r="B409" s="407"/>
      <c r="C409" s="408"/>
      <c r="D409" s="408"/>
    </row>
    <row r="410" spans="1:4" x14ac:dyDescent="0.2">
      <c r="A410" s="408"/>
      <c r="B410" s="407"/>
      <c r="C410" s="408"/>
      <c r="D410" s="408"/>
    </row>
    <row r="411" spans="1:4" x14ac:dyDescent="0.2">
      <c r="A411" s="408"/>
      <c r="B411" s="407"/>
      <c r="C411" s="408"/>
      <c r="D411" s="408"/>
    </row>
    <row r="412" spans="1:4" x14ac:dyDescent="0.2">
      <c r="A412" s="408"/>
      <c r="B412" s="407"/>
      <c r="C412" s="408"/>
      <c r="D412" s="408"/>
    </row>
    <row r="413" spans="1:4" x14ac:dyDescent="0.2">
      <c r="A413" s="408"/>
      <c r="B413" s="407"/>
      <c r="C413" s="408"/>
      <c r="D413" s="408"/>
    </row>
    <row r="414" spans="1:4" x14ac:dyDescent="0.2">
      <c r="A414" s="408"/>
      <c r="B414" s="407"/>
      <c r="C414" s="408"/>
      <c r="D414" s="408"/>
    </row>
    <row r="415" spans="1:4" x14ac:dyDescent="0.2">
      <c r="A415" s="408"/>
      <c r="B415" s="407"/>
      <c r="C415" s="408"/>
      <c r="D415" s="408"/>
    </row>
    <row r="416" spans="1:4" x14ac:dyDescent="0.2">
      <c r="A416" s="408"/>
      <c r="B416" s="407"/>
      <c r="C416" s="408"/>
      <c r="D416" s="408"/>
    </row>
    <row r="417" spans="1:4" x14ac:dyDescent="0.2">
      <c r="A417" s="408"/>
      <c r="B417" s="407"/>
      <c r="C417" s="408"/>
      <c r="D417" s="408"/>
    </row>
    <row r="418" spans="1:4" x14ac:dyDescent="0.2">
      <c r="A418" s="408"/>
      <c r="B418" s="407"/>
      <c r="C418" s="408"/>
      <c r="D418" s="408"/>
    </row>
    <row r="419" spans="1:4" x14ac:dyDescent="0.2">
      <c r="A419" s="408"/>
      <c r="B419" s="407"/>
      <c r="C419" s="408"/>
      <c r="D419" s="408"/>
    </row>
    <row r="420" spans="1:4" x14ac:dyDescent="0.2">
      <c r="A420" s="408"/>
      <c r="B420" s="407"/>
      <c r="C420" s="408"/>
      <c r="D420" s="408"/>
    </row>
    <row r="421" spans="1:4" x14ac:dyDescent="0.2">
      <c r="A421" s="408"/>
      <c r="B421" s="407"/>
      <c r="C421" s="408"/>
      <c r="D421" s="408"/>
    </row>
    <row r="422" spans="1:4" x14ac:dyDescent="0.2">
      <c r="A422" s="408"/>
      <c r="B422" s="407"/>
      <c r="C422" s="408"/>
      <c r="D422" s="408"/>
    </row>
    <row r="423" spans="1:4" x14ac:dyDescent="0.2">
      <c r="A423" s="408"/>
      <c r="B423" s="407"/>
      <c r="C423" s="408"/>
      <c r="D423" s="408"/>
    </row>
    <row r="424" spans="1:4" x14ac:dyDescent="0.2">
      <c r="A424" s="408"/>
      <c r="B424" s="407"/>
      <c r="C424" s="408"/>
      <c r="D424" s="408"/>
    </row>
    <row r="425" spans="1:4" x14ac:dyDescent="0.2">
      <c r="A425" s="408"/>
      <c r="B425" s="407"/>
      <c r="C425" s="408"/>
      <c r="D425" s="408"/>
    </row>
    <row r="426" spans="1:4" x14ac:dyDescent="0.2">
      <c r="A426" s="408"/>
      <c r="B426" s="407"/>
      <c r="C426" s="408"/>
      <c r="D426" s="408"/>
    </row>
    <row r="427" spans="1:4" x14ac:dyDescent="0.2">
      <c r="A427" s="408"/>
      <c r="B427" s="407"/>
      <c r="C427" s="408"/>
      <c r="D427" s="408"/>
    </row>
    <row r="428" spans="1:4" x14ac:dyDescent="0.2">
      <c r="A428" s="408"/>
      <c r="B428" s="407"/>
      <c r="C428" s="408"/>
      <c r="D428" s="408"/>
    </row>
    <row r="429" spans="1:4" x14ac:dyDescent="0.2">
      <c r="A429" s="408"/>
      <c r="B429" s="407"/>
      <c r="C429" s="408"/>
      <c r="D429" s="408"/>
    </row>
    <row r="430" spans="1:4" x14ac:dyDescent="0.2">
      <c r="A430" s="408"/>
      <c r="B430" s="407"/>
      <c r="C430" s="408"/>
      <c r="D430" s="408"/>
    </row>
    <row r="431" spans="1:4" x14ac:dyDescent="0.2">
      <c r="A431" s="408"/>
      <c r="B431" s="407"/>
      <c r="C431" s="408"/>
      <c r="D431" s="408"/>
    </row>
    <row r="432" spans="1:4" x14ac:dyDescent="0.2">
      <c r="A432" s="408"/>
      <c r="B432" s="407"/>
      <c r="C432" s="408"/>
      <c r="D432" s="408"/>
    </row>
    <row r="433" spans="1:4" x14ac:dyDescent="0.2">
      <c r="A433" s="408"/>
      <c r="B433" s="407"/>
      <c r="C433" s="408"/>
      <c r="D433" s="408"/>
    </row>
    <row r="434" spans="1:4" x14ac:dyDescent="0.2">
      <c r="A434" s="408"/>
      <c r="B434" s="407"/>
      <c r="C434" s="408"/>
      <c r="D434" s="408"/>
    </row>
    <row r="435" spans="1:4" x14ac:dyDescent="0.2">
      <c r="A435" s="408"/>
      <c r="B435" s="407"/>
      <c r="C435" s="408"/>
      <c r="D435" s="408"/>
    </row>
    <row r="436" spans="1:4" x14ac:dyDescent="0.2">
      <c r="A436" s="408"/>
      <c r="B436" s="407"/>
      <c r="C436" s="408"/>
      <c r="D436" s="408"/>
    </row>
    <row r="437" spans="1:4" x14ac:dyDescent="0.2">
      <c r="A437" s="408"/>
      <c r="B437" s="407"/>
      <c r="C437" s="408"/>
      <c r="D437" s="408"/>
    </row>
    <row r="438" spans="1:4" x14ac:dyDescent="0.2">
      <c r="A438" s="408"/>
      <c r="B438" s="407"/>
      <c r="C438" s="408"/>
      <c r="D438" s="408"/>
    </row>
    <row r="439" spans="1:4" x14ac:dyDescent="0.2">
      <c r="A439" s="408"/>
      <c r="B439" s="407"/>
      <c r="C439" s="408"/>
      <c r="D439" s="408"/>
    </row>
    <row r="440" spans="1:4" x14ac:dyDescent="0.2">
      <c r="A440" s="408"/>
      <c r="B440" s="407"/>
      <c r="C440" s="408"/>
      <c r="D440" s="408"/>
    </row>
    <row r="441" spans="1:4" x14ac:dyDescent="0.2">
      <c r="A441" s="408"/>
      <c r="B441" s="407"/>
      <c r="C441" s="408"/>
      <c r="D441" s="408"/>
    </row>
    <row r="442" spans="1:4" x14ac:dyDescent="0.2">
      <c r="A442" s="408"/>
      <c r="B442" s="407"/>
      <c r="C442" s="408"/>
      <c r="D442" s="408"/>
    </row>
    <row r="443" spans="1:4" x14ac:dyDescent="0.2">
      <c r="A443" s="408"/>
      <c r="B443" s="407"/>
      <c r="C443" s="408"/>
      <c r="D443" s="408"/>
    </row>
    <row r="444" spans="1:4" x14ac:dyDescent="0.2">
      <c r="A444" s="408"/>
      <c r="B444" s="407"/>
      <c r="C444" s="408"/>
      <c r="D444" s="408"/>
    </row>
    <row r="445" spans="1:4" x14ac:dyDescent="0.2">
      <c r="A445" s="408"/>
      <c r="B445" s="407"/>
      <c r="C445" s="408"/>
      <c r="D445" s="408"/>
    </row>
    <row r="446" spans="1:4" x14ac:dyDescent="0.2">
      <c r="A446" s="408"/>
      <c r="B446" s="407"/>
      <c r="C446" s="408"/>
      <c r="D446" s="408"/>
    </row>
    <row r="447" spans="1:4" x14ac:dyDescent="0.2">
      <c r="A447" s="408"/>
      <c r="B447" s="407"/>
      <c r="C447" s="408"/>
      <c r="D447" s="408"/>
    </row>
    <row r="448" spans="1:4" x14ac:dyDescent="0.2">
      <c r="A448" s="408"/>
      <c r="B448" s="407"/>
      <c r="C448" s="408"/>
      <c r="D448" s="408"/>
    </row>
    <row r="449" spans="1:4" x14ac:dyDescent="0.2">
      <c r="A449" s="408"/>
      <c r="B449" s="407"/>
      <c r="C449" s="408"/>
      <c r="D449" s="408"/>
    </row>
    <row r="450" spans="1:4" x14ac:dyDescent="0.2">
      <c r="A450" s="408"/>
      <c r="B450" s="407"/>
      <c r="C450" s="408"/>
      <c r="D450" s="408"/>
    </row>
    <row r="451" spans="1:4" x14ac:dyDescent="0.2">
      <c r="A451" s="408"/>
      <c r="B451" s="407"/>
      <c r="C451" s="408"/>
      <c r="D451" s="408"/>
    </row>
    <row r="452" spans="1:4" x14ac:dyDescent="0.2">
      <c r="A452" s="408"/>
      <c r="B452" s="407"/>
      <c r="C452" s="408"/>
      <c r="D452" s="408"/>
    </row>
    <row r="453" spans="1:4" x14ac:dyDescent="0.2">
      <c r="A453" s="408"/>
      <c r="B453" s="407"/>
      <c r="C453" s="408"/>
      <c r="D453" s="408"/>
    </row>
    <row r="454" spans="1:4" x14ac:dyDescent="0.2">
      <c r="A454" s="408"/>
      <c r="B454" s="407"/>
      <c r="C454" s="408"/>
      <c r="D454" s="408"/>
    </row>
    <row r="455" spans="1:4" x14ac:dyDescent="0.2">
      <c r="A455" s="408"/>
      <c r="B455" s="407"/>
      <c r="C455" s="408"/>
      <c r="D455" s="408"/>
    </row>
    <row r="456" spans="1:4" x14ac:dyDescent="0.2">
      <c r="A456" s="408"/>
      <c r="B456" s="407"/>
      <c r="C456" s="408"/>
      <c r="D456" s="408"/>
    </row>
    <row r="457" spans="1:4" x14ac:dyDescent="0.2">
      <c r="A457" s="408"/>
      <c r="B457" s="407"/>
      <c r="C457" s="408"/>
      <c r="D457" s="408"/>
    </row>
    <row r="458" spans="1:4" x14ac:dyDescent="0.2">
      <c r="A458" s="408"/>
      <c r="B458" s="407"/>
      <c r="C458" s="408"/>
      <c r="D458" s="408"/>
    </row>
    <row r="459" spans="1:4" x14ac:dyDescent="0.2">
      <c r="A459" s="408"/>
      <c r="B459" s="407"/>
      <c r="C459" s="408"/>
      <c r="D459" s="408"/>
    </row>
    <row r="460" spans="1:4" x14ac:dyDescent="0.2">
      <c r="A460" s="408"/>
      <c r="B460" s="407"/>
      <c r="C460" s="408"/>
      <c r="D460" s="408"/>
    </row>
    <row r="461" spans="1:4" x14ac:dyDescent="0.2">
      <c r="A461" s="408"/>
      <c r="B461" s="407"/>
      <c r="C461" s="408"/>
      <c r="D461" s="408"/>
    </row>
    <row r="462" spans="1:4" x14ac:dyDescent="0.2">
      <c r="A462" s="408"/>
      <c r="B462" s="407"/>
      <c r="C462" s="408"/>
      <c r="D462" s="408"/>
    </row>
    <row r="463" spans="1:4" x14ac:dyDescent="0.2">
      <c r="A463" s="408"/>
      <c r="B463" s="407"/>
      <c r="C463" s="408"/>
      <c r="D463" s="408"/>
    </row>
    <row r="464" spans="1:4" x14ac:dyDescent="0.2">
      <c r="A464" s="408"/>
      <c r="B464" s="407"/>
      <c r="C464" s="408"/>
      <c r="D464" s="408"/>
    </row>
    <row r="465" spans="1:4" x14ac:dyDescent="0.2">
      <c r="A465" s="408"/>
      <c r="B465" s="407"/>
      <c r="C465" s="408"/>
      <c r="D465" s="408"/>
    </row>
    <row r="466" spans="1:4" x14ac:dyDescent="0.2">
      <c r="A466" s="408"/>
      <c r="B466" s="407"/>
      <c r="C466" s="408"/>
      <c r="D466" s="408"/>
    </row>
    <row r="467" spans="1:4" x14ac:dyDescent="0.2">
      <c r="A467" s="408"/>
      <c r="B467" s="407"/>
      <c r="C467" s="408"/>
      <c r="D467" s="408"/>
    </row>
    <row r="468" spans="1:4" x14ac:dyDescent="0.2">
      <c r="A468" s="408"/>
      <c r="B468" s="407"/>
      <c r="C468" s="408"/>
      <c r="D468" s="408"/>
    </row>
    <row r="469" spans="1:4" x14ac:dyDescent="0.2">
      <c r="A469" s="408"/>
      <c r="B469" s="407"/>
      <c r="C469" s="408"/>
      <c r="D469" s="408"/>
    </row>
    <row r="470" spans="1:4" x14ac:dyDescent="0.2">
      <c r="A470" s="408"/>
      <c r="B470" s="407"/>
      <c r="C470" s="408"/>
      <c r="D470" s="408"/>
    </row>
    <row r="471" spans="1:4" x14ac:dyDescent="0.2">
      <c r="A471" s="408"/>
      <c r="B471" s="407"/>
      <c r="C471" s="408"/>
      <c r="D471" s="408"/>
    </row>
    <row r="472" spans="1:4" x14ac:dyDescent="0.2">
      <c r="A472" s="408"/>
      <c r="B472" s="407"/>
      <c r="C472" s="408"/>
      <c r="D472" s="408"/>
    </row>
    <row r="473" spans="1:4" x14ac:dyDescent="0.2">
      <c r="A473" s="408"/>
      <c r="B473" s="407"/>
      <c r="C473" s="408"/>
      <c r="D473" s="408"/>
    </row>
    <row r="474" spans="1:4" x14ac:dyDescent="0.2">
      <c r="A474" s="408"/>
      <c r="B474" s="407"/>
      <c r="C474" s="408"/>
      <c r="D474" s="408"/>
    </row>
    <row r="475" spans="1:4" x14ac:dyDescent="0.2">
      <c r="A475" s="408"/>
      <c r="B475" s="407"/>
      <c r="C475" s="408"/>
      <c r="D475" s="408"/>
    </row>
    <row r="476" spans="1:4" x14ac:dyDescent="0.2">
      <c r="A476" s="408"/>
      <c r="B476" s="407"/>
      <c r="C476" s="408"/>
      <c r="D476" s="408"/>
    </row>
    <row r="477" spans="1:4" x14ac:dyDescent="0.2">
      <c r="A477" s="408"/>
      <c r="B477" s="407"/>
      <c r="C477" s="408"/>
      <c r="D477" s="408"/>
    </row>
    <row r="478" spans="1:4" x14ac:dyDescent="0.2">
      <c r="A478" s="408"/>
      <c r="B478" s="407"/>
      <c r="C478" s="408"/>
      <c r="D478" s="408"/>
    </row>
    <row r="479" spans="1:4" x14ac:dyDescent="0.2">
      <c r="A479" s="408"/>
      <c r="B479" s="407"/>
      <c r="C479" s="408"/>
      <c r="D479" s="408"/>
    </row>
    <row r="480" spans="1:4" x14ac:dyDescent="0.2">
      <c r="A480" s="408"/>
      <c r="B480" s="407"/>
      <c r="C480" s="408"/>
      <c r="D480" s="408"/>
    </row>
    <row r="481" spans="1:4" x14ac:dyDescent="0.2">
      <c r="A481" s="408"/>
      <c r="B481" s="407"/>
      <c r="C481" s="408"/>
      <c r="D481" s="408"/>
    </row>
    <row r="482" spans="1:4" x14ac:dyDescent="0.2">
      <c r="A482" s="408"/>
      <c r="B482" s="407"/>
      <c r="C482" s="408"/>
      <c r="D482" s="408"/>
    </row>
    <row r="483" spans="1:4" x14ac:dyDescent="0.2">
      <c r="A483" s="408"/>
      <c r="B483" s="407"/>
      <c r="C483" s="408"/>
      <c r="D483" s="408"/>
    </row>
    <row r="484" spans="1:4" x14ac:dyDescent="0.2">
      <c r="A484" s="408"/>
      <c r="B484" s="407"/>
      <c r="C484" s="408"/>
      <c r="D484" s="408"/>
    </row>
    <row r="485" spans="1:4" x14ac:dyDescent="0.2">
      <c r="A485" s="408"/>
      <c r="B485" s="407"/>
      <c r="C485" s="408"/>
      <c r="D485" s="408"/>
    </row>
    <row r="486" spans="1:4" x14ac:dyDescent="0.2">
      <c r="A486" s="408"/>
      <c r="B486" s="407"/>
      <c r="C486" s="408"/>
      <c r="D486" s="408"/>
    </row>
    <row r="487" spans="1:4" x14ac:dyDescent="0.2">
      <c r="A487" s="408"/>
      <c r="B487" s="407"/>
      <c r="C487" s="408"/>
      <c r="D487" s="408"/>
    </row>
    <row r="488" spans="1:4" x14ac:dyDescent="0.2">
      <c r="A488" s="408"/>
      <c r="B488" s="407"/>
      <c r="C488" s="408"/>
      <c r="D488" s="408"/>
    </row>
    <row r="489" spans="1:4" x14ac:dyDescent="0.2">
      <c r="A489" s="408"/>
      <c r="B489" s="407"/>
      <c r="C489" s="408"/>
      <c r="D489" s="408"/>
    </row>
    <row r="490" spans="1:4" x14ac:dyDescent="0.2">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5" t="s">
        <v>363</v>
      </c>
      <c r="B2" t="s">
        <v>46</v>
      </c>
      <c r="C2" t="s">
        <v>47</v>
      </c>
      <c r="D2" t="s">
        <v>48</v>
      </c>
      <c r="E2" t="s">
        <v>49</v>
      </c>
      <c r="F2" t="s">
        <v>50</v>
      </c>
      <c r="G2" t="s">
        <v>51</v>
      </c>
      <c r="H2" t="s">
        <v>52</v>
      </c>
      <c r="I2" t="s">
        <v>53</v>
      </c>
      <c r="J2" t="s">
        <v>54</v>
      </c>
      <c r="K2" t="s">
        <v>55</v>
      </c>
      <c r="L2" t="s">
        <v>56</v>
      </c>
      <c r="M2" t="s">
        <v>57</v>
      </c>
    </row>
    <row r="3" spans="1:13" x14ac:dyDescent="0.2">
      <c r="A3" s="685" t="s">
        <v>364</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1" t="s">
        <v>265</v>
      </c>
      <c r="D2" s="422"/>
      <c r="E2" s="423"/>
      <c r="F2" s="422"/>
    </row>
    <row r="4" spans="3:6" x14ac:dyDescent="0.2">
      <c r="C4" s="424" t="s">
        <v>263</v>
      </c>
      <c r="E4" s="425">
        <v>36244</v>
      </c>
    </row>
    <row r="5" spans="3:6" x14ac:dyDescent="0.2">
      <c r="C5" s="424" t="s">
        <v>264</v>
      </c>
      <c r="E5" s="425">
        <v>36244</v>
      </c>
    </row>
    <row r="17" spans="5:5" x14ac:dyDescent="0.2">
      <c r="E17" s="426"/>
    </row>
    <row r="18" spans="5:5" x14ac:dyDescent="0.2">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3">
        <v>37389.135416666664</v>
      </c>
    </row>
    <row r="2" spans="2:2" x14ac:dyDescent="0.2">
      <c r="B2" t="s">
        <v>366</v>
      </c>
    </row>
    <row r="3" spans="2:2" x14ac:dyDescent="0.2">
      <c r="B3" t="s">
        <v>397</v>
      </c>
    </row>
    <row r="4" spans="2:2" x14ac:dyDescent="0.2">
      <c r="B4" t="s">
        <v>398</v>
      </c>
    </row>
    <row r="5" spans="2:2" x14ac:dyDescent="0.2">
      <c r="B5" t="s">
        <v>367</v>
      </c>
    </row>
    <row r="6" spans="2:2" x14ac:dyDescent="0.2">
      <c r="B6" t="s">
        <v>368</v>
      </c>
    </row>
    <row r="7" spans="2:2" x14ac:dyDescent="0.2">
      <c r="B7" t="s">
        <v>350</v>
      </c>
    </row>
    <row r="8" spans="2:2" x14ac:dyDescent="0.2">
      <c r="B8" t="s">
        <v>399</v>
      </c>
    </row>
    <row r="9" spans="2:2" x14ac:dyDescent="0.2">
      <c r="B9" t="s">
        <v>381</v>
      </c>
    </row>
    <row r="10" spans="2:2" x14ac:dyDescent="0.2">
      <c r="B10" t="s">
        <v>400</v>
      </c>
    </row>
    <row r="11" spans="2:2" x14ac:dyDescent="0.2">
      <c r="B11" t="s">
        <v>353</v>
      </c>
    </row>
    <row r="12" spans="2:2" x14ac:dyDescent="0.2">
      <c r="B12" t="s">
        <v>355</v>
      </c>
    </row>
    <row r="13" spans="2:2" x14ac:dyDescent="0.2">
      <c r="B13" t="s">
        <v>354</v>
      </c>
    </row>
    <row r="14" spans="2:2" x14ac:dyDescent="0.2">
      <c r="B14" t="s">
        <v>390</v>
      </c>
    </row>
    <row r="15" spans="2:2" x14ac:dyDescent="0.2">
      <c r="B15" t="s">
        <v>391</v>
      </c>
    </row>
    <row r="16" spans="2:2" x14ac:dyDescent="0.2">
      <c r="B16" t="s">
        <v>369</v>
      </c>
    </row>
    <row r="17" spans="2:2" x14ac:dyDescent="0.2">
      <c r="B17" t="s">
        <v>389</v>
      </c>
    </row>
    <row r="18" spans="2:2" x14ac:dyDescent="0.2">
      <c r="B18" t="s">
        <v>401</v>
      </c>
    </row>
    <row r="19" spans="2:2" x14ac:dyDescent="0.2">
      <c r="B19" t="s">
        <v>392</v>
      </c>
    </row>
    <row r="20" spans="2:2" x14ac:dyDescent="0.2">
      <c r="B20" t="s">
        <v>393</v>
      </c>
    </row>
    <row r="21" spans="2:2" x14ac:dyDescent="0.2">
      <c r="B21" t="s">
        <v>394</v>
      </c>
    </row>
    <row r="22" spans="2:2" x14ac:dyDescent="0.2">
      <c r="B22" t="s">
        <v>388</v>
      </c>
    </row>
    <row r="23" spans="2:2" x14ac:dyDescent="0.2">
      <c r="B23" t="s">
        <v>395</v>
      </c>
    </row>
    <row r="24" spans="2:2" x14ac:dyDescent="0.2">
      <c r="B24" t="s">
        <v>380</v>
      </c>
    </row>
    <row r="25" spans="2:2" x14ac:dyDescent="0.2">
      <c r="B25" t="s">
        <v>396</v>
      </c>
    </row>
    <row r="26" spans="2:2" x14ac:dyDescent="0.2">
      <c r="B26" t="s">
        <v>376</v>
      </c>
    </row>
    <row r="27" spans="2:2" x14ac:dyDescent="0.2">
      <c r="B27" t="s">
        <v>377</v>
      </c>
    </row>
    <row r="28" spans="2:2" x14ac:dyDescent="0.2">
      <c r="B28" t="s">
        <v>378</v>
      </c>
    </row>
    <row r="29" spans="2:2" x14ac:dyDescent="0.2">
      <c r="B29" t="s">
        <v>377</v>
      </c>
    </row>
    <row r="30" spans="2:2" x14ac:dyDescent="0.2">
      <c r="B30" t="s">
        <v>335</v>
      </c>
    </row>
    <row r="31" spans="2:2" x14ac:dyDescent="0.2">
      <c r="B31" s="473">
        <v>37300.629861111112</v>
      </c>
    </row>
    <row r="32" spans="2:2" x14ac:dyDescent="0.2">
      <c r="B32" t="s">
        <v>366</v>
      </c>
    </row>
    <row r="33" spans="2:2" x14ac:dyDescent="0.2">
      <c r="B33" t="s">
        <v>372</v>
      </c>
    </row>
    <row r="34" spans="2:2" x14ac:dyDescent="0.2">
      <c r="B34" t="s">
        <v>371</v>
      </c>
    </row>
    <row r="35" spans="2:2" x14ac:dyDescent="0.2">
      <c r="B35" t="s">
        <v>367</v>
      </c>
    </row>
    <row r="36" spans="2:2" x14ac:dyDescent="0.2">
      <c r="B36" t="s">
        <v>368</v>
      </c>
    </row>
    <row r="37" spans="2:2" x14ac:dyDescent="0.2">
      <c r="B37" t="s">
        <v>350</v>
      </c>
    </row>
    <row r="38" spans="2:2" x14ac:dyDescent="0.2">
      <c r="B38" t="s">
        <v>352</v>
      </c>
    </row>
    <row r="39" spans="2:2" x14ac:dyDescent="0.2">
      <c r="B39" t="s">
        <v>373</v>
      </c>
    </row>
    <row r="40" spans="2:2" x14ac:dyDescent="0.2">
      <c r="B40" t="s">
        <v>374</v>
      </c>
    </row>
    <row r="41" spans="2:2" x14ac:dyDescent="0.2">
      <c r="B41" t="s">
        <v>353</v>
      </c>
    </row>
    <row r="42" spans="2:2" x14ac:dyDescent="0.2">
      <c r="B42" t="s">
        <v>355</v>
      </c>
    </row>
    <row r="43" spans="2:2" x14ac:dyDescent="0.2">
      <c r="B43" t="s">
        <v>354</v>
      </c>
    </row>
    <row r="44" spans="2:2" x14ac:dyDescent="0.2">
      <c r="B44" t="s">
        <v>365</v>
      </c>
    </row>
    <row r="45" spans="2:2" x14ac:dyDescent="0.2">
      <c r="B45" t="s">
        <v>356</v>
      </c>
    </row>
    <row r="46" spans="2:2" x14ac:dyDescent="0.2">
      <c r="B46" t="s">
        <v>369</v>
      </c>
    </row>
    <row r="47" spans="2:2" x14ac:dyDescent="0.2">
      <c r="B47" t="s">
        <v>370</v>
      </c>
    </row>
    <row r="48" spans="2:2" x14ac:dyDescent="0.2">
      <c r="B48" t="s">
        <v>375</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2023-09-12T04:33:56Z</dcterms:modified>
</cp:coreProperties>
</file>