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FA587D-AD8F-43FC-844B-9A8DB95A576D}" xr6:coauthVersionLast="47" xr6:coauthVersionMax="47" xr10:uidLastSave="{00000000-0000-0000-0000-000000000000}"/>
  <bookViews>
    <workbookView xWindow="-120" yWindow="-120" windowWidth="23280" windowHeight="13200" activeTab="1"/>
  </bookViews>
  <sheets>
    <sheet name="monthly" sheetId="1" r:id="rId1"/>
    <sheet name="comparisons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E11" i="2"/>
  <c r="G11" i="2"/>
  <c r="G13" i="2"/>
  <c r="G21" i="2"/>
  <c r="E26" i="2"/>
  <c r="G26" i="2"/>
  <c r="E28" i="2"/>
  <c r="G28" i="2"/>
  <c r="E8" i="1"/>
  <c r="G8" i="1"/>
  <c r="E13" i="1"/>
  <c r="G13" i="1"/>
  <c r="I13" i="1"/>
  <c r="E20" i="1"/>
  <c r="G20" i="1"/>
  <c r="I20" i="1"/>
  <c r="E22" i="1"/>
  <c r="G22" i="1"/>
  <c r="E27" i="1"/>
  <c r="G27" i="1"/>
  <c r="I27" i="1"/>
  <c r="E29" i="1"/>
  <c r="G29" i="1"/>
  <c r="E34" i="1"/>
  <c r="G34" i="1"/>
  <c r="I34" i="1"/>
  <c r="E36" i="1"/>
  <c r="G36" i="1"/>
  <c r="E41" i="1"/>
  <c r="G41" i="1"/>
  <c r="I41" i="1"/>
  <c r="E43" i="1"/>
  <c r="G43" i="1"/>
  <c r="E45" i="1"/>
  <c r="G45" i="1"/>
  <c r="E46" i="1"/>
  <c r="E48" i="1"/>
  <c r="G48" i="1"/>
  <c r="I48" i="1"/>
  <c r="E50" i="1"/>
  <c r="G50" i="1"/>
  <c r="E55" i="1"/>
  <c r="G55" i="1"/>
  <c r="I55" i="1"/>
  <c r="I57" i="1"/>
  <c r="I59" i="1"/>
  <c r="E62" i="1"/>
  <c r="G62" i="1"/>
  <c r="I62" i="1"/>
  <c r="I64" i="1"/>
  <c r="I65" i="1"/>
  <c r="E69" i="1"/>
  <c r="G69" i="1"/>
  <c r="I69" i="1"/>
  <c r="I71" i="1"/>
  <c r="I72" i="1"/>
  <c r="E76" i="1"/>
  <c r="G76" i="1"/>
  <c r="I76" i="1"/>
  <c r="I78" i="1"/>
  <c r="I79" i="1"/>
  <c r="I80" i="1"/>
  <c r="E83" i="1"/>
  <c r="G83" i="1"/>
  <c r="I83" i="1"/>
  <c r="I85" i="1"/>
  <c r="I86" i="1"/>
  <c r="I87" i="1"/>
  <c r="E90" i="1"/>
  <c r="G90" i="1"/>
  <c r="I90" i="1"/>
  <c r="I94" i="1"/>
  <c r="I95" i="1"/>
  <c r="E97" i="1"/>
  <c r="G97" i="1"/>
  <c r="I97" i="1"/>
  <c r="I99" i="1"/>
  <c r="I100" i="1"/>
  <c r="I101" i="1"/>
  <c r="I102" i="1"/>
  <c r="E104" i="1"/>
  <c r="G104" i="1"/>
  <c r="I104" i="1"/>
  <c r="I106" i="1"/>
  <c r="I107" i="1"/>
  <c r="I108" i="1"/>
  <c r="E111" i="1"/>
  <c r="G111" i="1"/>
  <c r="I111" i="1"/>
  <c r="I113" i="1"/>
  <c r="I115" i="1"/>
  <c r="E118" i="1"/>
  <c r="G118" i="1"/>
  <c r="I118" i="1"/>
  <c r="I120" i="1"/>
  <c r="I122" i="1"/>
  <c r="E125" i="1"/>
  <c r="G125" i="1"/>
  <c r="I125" i="1"/>
  <c r="I127" i="1"/>
  <c r="I128" i="1"/>
  <c r="I131" i="1"/>
  <c r="E132" i="1"/>
  <c r="G132" i="1"/>
  <c r="I132" i="1"/>
</calcChain>
</file>

<file path=xl/sharedStrings.xml><?xml version="1.0" encoding="utf-8"?>
<sst xmlns="http://schemas.openxmlformats.org/spreadsheetml/2006/main" count="126" uniqueCount="26">
  <si>
    <t>USGT  #27161</t>
  </si>
  <si>
    <t>Nominated for the month</t>
  </si>
  <si>
    <t>Scheduled for the month</t>
  </si>
  <si>
    <t>3rd party sheduled for the month</t>
  </si>
  <si>
    <t>Summary of Gas that Flowed West (in mmbtu)</t>
  </si>
  <si>
    <t>Delivery Point</t>
  </si>
  <si>
    <t>SOCAL Needles</t>
  </si>
  <si>
    <t>Mojave Topock</t>
  </si>
  <si>
    <t>PGE Topock</t>
  </si>
  <si>
    <t>Calif Mkt Pool</t>
  </si>
  <si>
    <t>EP Window Rock</t>
  </si>
  <si>
    <t>na</t>
  </si>
  <si>
    <t>VOLUMES SCHEDULED VS TOTAL CONTRACT MDQ</t>
  </si>
  <si>
    <t>VOLUMES SCHEDULED VS TOTAL DELIVERED CAPACITY</t>
  </si>
  <si>
    <t>TOTAL PRIMARY DELIVERY VOLUMES VS TOTAL ALTERNATE DELIVERY VOLUMES</t>
  </si>
  <si>
    <t>Total delivered to the west</t>
  </si>
  <si>
    <t>USGT's total contract volume</t>
  </si>
  <si>
    <t>TW's total delivery capacity</t>
  </si>
  <si>
    <t>mmbtu/d</t>
  </si>
  <si>
    <t>Comparables</t>
  </si>
  <si>
    <t>*</t>
  </si>
  <si>
    <t>* avg of the 549 days in the evaluation</t>
  </si>
  <si>
    <t>scheduled mmbtu total (5/00 thru 10/01)</t>
  </si>
  <si>
    <t>mmbtu total del capacity (5/00 thru 10/01)</t>
  </si>
  <si>
    <t>Percentage</t>
  </si>
  <si>
    <t>to be provided by Dennis Lee via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</si>
</sst>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6" formatCode="0.0000%"/>
    <numFmt numFmtId="186" formatCode="_(* #,##0.00000000000000_);_(* \(#,##0.0000000000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/>
    <xf numFmtId="0" fontId="0" fillId="0" borderId="0" xfId="0" applyBorder="1"/>
    <xf numFmtId="17" fontId="0" fillId="0" borderId="0" xfId="0" applyNumberFormat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17" fontId="5" fillId="0" borderId="0" xfId="0" applyNumberFormat="1" applyFont="1" applyBorder="1"/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176" fontId="0" fillId="0" borderId="0" xfId="2" applyNumberFormat="1" applyFont="1" applyBorder="1"/>
    <xf numFmtId="186" fontId="0" fillId="0" borderId="0" xfId="1" applyNumberFormat="1" applyFont="1" applyBorder="1"/>
    <xf numFmtId="176" fontId="0" fillId="0" borderId="0" xfId="1" applyNumberFormat="1" applyFont="1" applyBorder="1"/>
    <xf numFmtId="17" fontId="5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7" fontId="5" fillId="0" borderId="5" xfId="0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/>
    <xf numFmtId="10" fontId="0" fillId="0" borderId="6" xfId="2" applyNumberFormat="1" applyFont="1" applyBorder="1" applyAlignment="1">
      <alignment wrapText="1"/>
    </xf>
    <xf numFmtId="17" fontId="5" fillId="0" borderId="8" xfId="0" applyNumberFormat="1" applyFont="1" applyBorder="1"/>
    <xf numFmtId="0" fontId="0" fillId="0" borderId="9" xfId="0" applyBorder="1"/>
    <xf numFmtId="0" fontId="0" fillId="0" borderId="9" xfId="0" applyBorder="1" applyAlignment="1">
      <alignment wrapText="1"/>
    </xf>
    <xf numFmtId="165" fontId="0" fillId="0" borderId="9" xfId="1" applyNumberFormat="1" applyFont="1" applyBorder="1"/>
    <xf numFmtId="165" fontId="0" fillId="0" borderId="10" xfId="1" applyNumberFormat="1" applyFont="1" applyBorder="1"/>
    <xf numFmtId="0" fontId="0" fillId="0" borderId="7" xfId="0" applyBorder="1" applyAlignment="1">
      <alignment horizontal="center" wrapText="1"/>
    </xf>
    <xf numFmtId="176" fontId="0" fillId="0" borderId="6" xfId="2" applyNumberFormat="1" applyFont="1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2"/>
  <sheetViews>
    <sheetView zoomScaleNormal="100" workbookViewId="0">
      <pane ySplit="2100" topLeftCell="A10"/>
      <selection activeCell="J4" sqref="J4"/>
      <selection pane="bottomLeft" activeCell="A6" sqref="A6"/>
    </sheetView>
  </sheetViews>
  <sheetFormatPr defaultRowHeight="12.75" x14ac:dyDescent="0.2"/>
  <cols>
    <col min="1" max="1" width="10.7109375" customWidth="1"/>
    <col min="2" max="2" width="2.85546875" customWidth="1"/>
    <col min="3" max="3" width="17" customWidth="1"/>
    <col min="4" max="4" width="2.7109375" customWidth="1"/>
    <col min="5" max="5" width="14.140625" customWidth="1"/>
    <col min="6" max="6" width="2.7109375" customWidth="1"/>
    <col min="7" max="7" width="12.7109375" customWidth="1"/>
    <col min="8" max="8" width="2.7109375" customWidth="1"/>
    <col min="9" max="9" width="16.42578125" customWidth="1"/>
    <col min="10" max="10" width="10.5703125" customWidth="1"/>
  </cols>
  <sheetData>
    <row r="1" spans="1:17" ht="18" x14ac:dyDescent="0.25">
      <c r="A1" s="2" t="s">
        <v>0</v>
      </c>
    </row>
    <row r="3" spans="1:17" x14ac:dyDescent="0.2">
      <c r="A3" s="1" t="s">
        <v>4</v>
      </c>
    </row>
    <row r="6" spans="1:17" ht="25.5" x14ac:dyDescent="0.2">
      <c r="B6" s="4"/>
      <c r="C6" s="4" t="s">
        <v>5</v>
      </c>
      <c r="D6" s="4"/>
      <c r="E6" s="5" t="s">
        <v>1</v>
      </c>
      <c r="F6" s="5"/>
      <c r="G6" s="5" t="s">
        <v>2</v>
      </c>
      <c r="H6" s="5"/>
      <c r="I6" s="5" t="s">
        <v>3</v>
      </c>
      <c r="J6" s="5"/>
      <c r="K6" s="5"/>
      <c r="L6" s="5"/>
      <c r="M6" s="5"/>
      <c r="N6" s="5"/>
      <c r="O6" s="5"/>
      <c r="P6" s="4"/>
      <c r="Q6" s="4"/>
    </row>
    <row r="8" spans="1:17" x14ac:dyDescent="0.2">
      <c r="A8" s="11">
        <v>37165</v>
      </c>
      <c r="C8" t="s">
        <v>6</v>
      </c>
      <c r="E8" s="6">
        <f>3752+26291+4813+147418+3064+141872+11491</f>
        <v>338701</v>
      </c>
      <c r="F8" s="6"/>
      <c r="G8" s="6">
        <f>3752+3332+4813+99733+260+73417+1563</f>
        <v>186870</v>
      </c>
      <c r="H8" s="6"/>
      <c r="I8" s="6" t="s">
        <v>11</v>
      </c>
    </row>
    <row r="9" spans="1:17" x14ac:dyDescent="0.2">
      <c r="C9" t="s">
        <v>7</v>
      </c>
      <c r="E9" s="6">
        <v>0</v>
      </c>
      <c r="F9" s="6"/>
      <c r="G9" s="6">
        <v>0</v>
      </c>
      <c r="H9" s="6"/>
      <c r="I9" s="6">
        <v>0</v>
      </c>
    </row>
    <row r="10" spans="1:17" x14ac:dyDescent="0.2">
      <c r="C10" t="s">
        <v>8</v>
      </c>
      <c r="E10" s="6">
        <v>0</v>
      </c>
      <c r="F10" s="6"/>
      <c r="G10" s="6">
        <v>0</v>
      </c>
      <c r="H10" s="6"/>
      <c r="I10" s="6">
        <v>0</v>
      </c>
    </row>
    <row r="11" spans="1:17" x14ac:dyDescent="0.2">
      <c r="C11" t="s">
        <v>9</v>
      </c>
      <c r="E11" s="6">
        <v>0</v>
      </c>
      <c r="F11" s="8"/>
      <c r="G11" s="6">
        <v>0</v>
      </c>
      <c r="H11" s="8"/>
      <c r="I11" s="6">
        <v>0</v>
      </c>
    </row>
    <row r="12" spans="1:17" x14ac:dyDescent="0.2">
      <c r="C12" t="s">
        <v>10</v>
      </c>
      <c r="E12" s="7">
        <v>0</v>
      </c>
      <c r="F12" s="7"/>
      <c r="G12" s="7">
        <v>0</v>
      </c>
      <c r="H12" s="7"/>
      <c r="I12" s="7">
        <v>0</v>
      </c>
    </row>
    <row r="13" spans="1:17" x14ac:dyDescent="0.2">
      <c r="E13" s="6">
        <f>SUM(E8:E12)</f>
        <v>338701</v>
      </c>
      <c r="F13" s="6"/>
      <c r="G13" s="6">
        <f>SUM(G8:G12)</f>
        <v>186870</v>
      </c>
      <c r="H13" s="6"/>
      <c r="I13" s="6">
        <f>SUM(I8:I12)</f>
        <v>0</v>
      </c>
    </row>
    <row r="15" spans="1:17" x14ac:dyDescent="0.2">
      <c r="A15" s="11">
        <v>37135</v>
      </c>
      <c r="C15" t="s">
        <v>6</v>
      </c>
      <c r="E15" s="6">
        <v>0</v>
      </c>
      <c r="F15" s="6"/>
      <c r="G15" s="6">
        <v>0</v>
      </c>
      <c r="H15" s="6"/>
      <c r="I15" s="6">
        <v>0</v>
      </c>
    </row>
    <row r="16" spans="1:17" x14ac:dyDescent="0.2">
      <c r="C16" t="s">
        <v>7</v>
      </c>
      <c r="E16" s="6">
        <v>0</v>
      </c>
      <c r="F16" s="6"/>
      <c r="G16" s="6">
        <v>0</v>
      </c>
      <c r="H16" s="6"/>
      <c r="I16" s="6">
        <v>0</v>
      </c>
    </row>
    <row r="17" spans="1:9" x14ac:dyDescent="0.2">
      <c r="C17" t="s">
        <v>8</v>
      </c>
      <c r="E17" s="6">
        <v>0</v>
      </c>
      <c r="F17" s="6"/>
      <c r="G17" s="6">
        <v>0</v>
      </c>
      <c r="H17" s="6"/>
      <c r="I17" s="6">
        <v>0</v>
      </c>
    </row>
    <row r="18" spans="1:9" x14ac:dyDescent="0.2">
      <c r="C18" t="s">
        <v>9</v>
      </c>
      <c r="E18" s="6">
        <v>0</v>
      </c>
      <c r="F18" s="8"/>
      <c r="G18" s="6">
        <v>0</v>
      </c>
      <c r="H18" s="8"/>
      <c r="I18" s="6">
        <v>0</v>
      </c>
    </row>
    <row r="19" spans="1:9" x14ac:dyDescent="0.2">
      <c r="C19" t="s">
        <v>10</v>
      </c>
      <c r="E19" s="7">
        <v>3040</v>
      </c>
      <c r="F19" s="7"/>
      <c r="G19" s="7">
        <v>0</v>
      </c>
      <c r="H19" s="7"/>
      <c r="I19" s="7" t="s">
        <v>11</v>
      </c>
    </row>
    <row r="20" spans="1:9" x14ac:dyDescent="0.2">
      <c r="E20" s="6">
        <f>SUM(E15:E19)</f>
        <v>3040</v>
      </c>
      <c r="F20" s="6"/>
      <c r="G20" s="6">
        <f>SUM(G15:G19)</f>
        <v>0</v>
      </c>
      <c r="H20" s="6"/>
      <c r="I20" s="6">
        <f>SUM(I15:I19)</f>
        <v>0</v>
      </c>
    </row>
    <row r="22" spans="1:9" x14ac:dyDescent="0.2">
      <c r="A22" s="11">
        <v>37104</v>
      </c>
      <c r="C22" t="s">
        <v>6</v>
      </c>
      <c r="E22" s="6">
        <f>5000+303457+110561+725991+80257+69285+941451+2331+5000</f>
        <v>2243333</v>
      </c>
      <c r="F22" s="6"/>
      <c r="G22" s="6">
        <f>5000+61021+13408+10257+26200+240059+2331+5000</f>
        <v>363276</v>
      </c>
      <c r="H22" s="6"/>
      <c r="I22" s="6" t="s">
        <v>11</v>
      </c>
    </row>
    <row r="23" spans="1:9" x14ac:dyDescent="0.2">
      <c r="C23" t="s">
        <v>7</v>
      </c>
      <c r="E23" s="6">
        <v>0</v>
      </c>
      <c r="F23" s="6"/>
      <c r="G23" s="6">
        <v>0</v>
      </c>
      <c r="H23" s="6"/>
      <c r="I23" s="6">
        <v>0</v>
      </c>
    </row>
    <row r="24" spans="1:9" x14ac:dyDescent="0.2">
      <c r="C24" t="s">
        <v>8</v>
      </c>
      <c r="E24" s="6">
        <v>0</v>
      </c>
      <c r="F24" s="6"/>
      <c r="G24" s="6">
        <v>0</v>
      </c>
      <c r="H24" s="6"/>
      <c r="I24" s="6">
        <v>0</v>
      </c>
    </row>
    <row r="25" spans="1:9" x14ac:dyDescent="0.2">
      <c r="C25" t="s">
        <v>9</v>
      </c>
      <c r="E25" s="6">
        <v>0</v>
      </c>
      <c r="F25" s="8"/>
      <c r="G25" s="6">
        <v>0</v>
      </c>
      <c r="H25" s="8"/>
      <c r="I25" s="6">
        <v>0</v>
      </c>
    </row>
    <row r="26" spans="1:9" x14ac:dyDescent="0.2">
      <c r="C26" t="s">
        <v>10</v>
      </c>
      <c r="E26" s="7">
        <v>0</v>
      </c>
      <c r="F26" s="7"/>
      <c r="G26" s="7">
        <v>0</v>
      </c>
      <c r="H26" s="7"/>
      <c r="I26" s="7">
        <v>0</v>
      </c>
    </row>
    <row r="27" spans="1:9" x14ac:dyDescent="0.2">
      <c r="E27" s="6">
        <f>SUM(E22:E26)</f>
        <v>2243333</v>
      </c>
      <c r="F27" s="6"/>
      <c r="G27" s="6">
        <f>SUM(G22:G26)</f>
        <v>363276</v>
      </c>
      <c r="H27" s="6"/>
      <c r="I27" s="6">
        <f>SUM(I22:I26)</f>
        <v>0</v>
      </c>
    </row>
    <row r="29" spans="1:9" x14ac:dyDescent="0.2">
      <c r="A29" s="11">
        <v>37073</v>
      </c>
      <c r="C29" t="s">
        <v>6</v>
      </c>
      <c r="E29" s="6">
        <f>86107+20213+37362+246383+853399+8617+36666+29295+13330+96467+36000+366834+1398017+11500</f>
        <v>3240190</v>
      </c>
      <c r="F29" s="6"/>
      <c r="G29" s="6">
        <f>85851+20213+3499+58428+294304+29295+13330+13946+73863+376251+11500</f>
        <v>980480</v>
      </c>
      <c r="H29" s="6"/>
      <c r="I29" s="6" t="s">
        <v>11</v>
      </c>
    </row>
    <row r="30" spans="1:9" x14ac:dyDescent="0.2">
      <c r="C30" t="s">
        <v>7</v>
      </c>
      <c r="E30" s="6">
        <v>0</v>
      </c>
      <c r="F30" s="6"/>
      <c r="G30" s="6">
        <v>0</v>
      </c>
      <c r="H30" s="6"/>
      <c r="I30" s="6">
        <v>0</v>
      </c>
    </row>
    <row r="31" spans="1:9" x14ac:dyDescent="0.2">
      <c r="C31" t="s">
        <v>8</v>
      </c>
      <c r="E31" s="6">
        <v>0</v>
      </c>
      <c r="F31" s="6"/>
      <c r="G31" s="6">
        <v>0</v>
      </c>
      <c r="H31" s="6"/>
      <c r="I31" s="6">
        <v>0</v>
      </c>
    </row>
    <row r="32" spans="1:9" x14ac:dyDescent="0.2">
      <c r="C32" t="s">
        <v>9</v>
      </c>
      <c r="E32" s="6">
        <v>0</v>
      </c>
      <c r="F32" s="8"/>
      <c r="G32" s="6">
        <v>0</v>
      </c>
      <c r="H32" s="8"/>
      <c r="I32" s="6">
        <v>0</v>
      </c>
    </row>
    <row r="33" spans="1:9" x14ac:dyDescent="0.2">
      <c r="C33" t="s">
        <v>10</v>
      </c>
      <c r="E33" s="7">
        <v>0</v>
      </c>
      <c r="F33" s="7"/>
      <c r="G33" s="7">
        <v>0</v>
      </c>
      <c r="H33" s="7"/>
      <c r="I33" s="7">
        <v>0</v>
      </c>
    </row>
    <row r="34" spans="1:9" x14ac:dyDescent="0.2">
      <c r="E34" s="6">
        <f>SUM(E29:E33)</f>
        <v>3240190</v>
      </c>
      <c r="F34" s="6"/>
      <c r="G34" s="6">
        <f>SUM(G29:G33)</f>
        <v>980480</v>
      </c>
      <c r="H34" s="6"/>
      <c r="I34" s="6">
        <f>SUM(I29:I33)</f>
        <v>0</v>
      </c>
    </row>
    <row r="36" spans="1:9" x14ac:dyDescent="0.2">
      <c r="A36" s="11">
        <v>37043</v>
      </c>
      <c r="C36" t="s">
        <v>6</v>
      </c>
      <c r="E36" s="6">
        <f>9578+175000+774650+19000+10999+24000+10000+119786+161495+803400+47064+335000+1049944+7500+85912+30000+105661+202088</f>
        <v>3971077</v>
      </c>
      <c r="F36" s="6"/>
      <c r="G36" s="6">
        <f>9578+18112+177903+19000+10999+24000+10000+25198+56689+88250+47064+50000+220588+38909+10000+95849+82113</f>
        <v>984252</v>
      </c>
      <c r="H36" s="6"/>
      <c r="I36" s="6" t="s">
        <v>11</v>
      </c>
    </row>
    <row r="37" spans="1:9" x14ac:dyDescent="0.2">
      <c r="C37" t="s">
        <v>7</v>
      </c>
      <c r="E37" s="6">
        <v>0</v>
      </c>
      <c r="F37" s="6"/>
      <c r="G37" s="6">
        <v>0</v>
      </c>
      <c r="H37" s="6"/>
      <c r="I37" s="6">
        <v>0</v>
      </c>
    </row>
    <row r="38" spans="1:9" x14ac:dyDescent="0.2">
      <c r="C38" t="s">
        <v>8</v>
      </c>
      <c r="E38" s="6">
        <v>30000</v>
      </c>
      <c r="F38" s="6"/>
      <c r="G38" s="6">
        <v>0</v>
      </c>
      <c r="H38" s="6"/>
      <c r="I38" s="6">
        <v>0</v>
      </c>
    </row>
    <row r="39" spans="1:9" x14ac:dyDescent="0.2">
      <c r="C39" t="s">
        <v>9</v>
      </c>
      <c r="E39" s="6">
        <v>0</v>
      </c>
      <c r="F39" s="8"/>
      <c r="G39" s="6">
        <v>0</v>
      </c>
      <c r="H39" s="8"/>
      <c r="I39" s="6">
        <v>0</v>
      </c>
    </row>
    <row r="40" spans="1:9" x14ac:dyDescent="0.2">
      <c r="C40" t="s">
        <v>10</v>
      </c>
      <c r="E40" s="7">
        <v>0</v>
      </c>
      <c r="F40" s="7"/>
      <c r="G40" s="7">
        <v>0</v>
      </c>
      <c r="H40" s="7"/>
      <c r="I40" s="7">
        <v>0</v>
      </c>
    </row>
    <row r="41" spans="1:9" x14ac:dyDescent="0.2">
      <c r="E41" s="6">
        <f>SUM(E36:E40)</f>
        <v>4001077</v>
      </c>
      <c r="F41" s="6"/>
      <c r="G41" s="6">
        <f>SUM(G36:G40)</f>
        <v>984252</v>
      </c>
      <c r="H41" s="6"/>
      <c r="I41" s="6">
        <f>SUM(I36:I40)</f>
        <v>0</v>
      </c>
    </row>
    <row r="43" spans="1:9" x14ac:dyDescent="0.2">
      <c r="A43" s="11">
        <v>37012</v>
      </c>
      <c r="C43" t="s">
        <v>6</v>
      </c>
      <c r="E43" s="6">
        <f>100000+665637+1181839</f>
        <v>1947476</v>
      </c>
      <c r="F43" s="6"/>
      <c r="G43" s="6">
        <f>83510+158643</f>
        <v>242153</v>
      </c>
      <c r="H43" s="6"/>
      <c r="I43" s="6" t="s">
        <v>11</v>
      </c>
    </row>
    <row r="44" spans="1:9" x14ac:dyDescent="0.2">
      <c r="C44" t="s">
        <v>7</v>
      </c>
      <c r="E44" s="6">
        <v>0</v>
      </c>
      <c r="F44" s="6"/>
      <c r="G44" s="6">
        <v>0</v>
      </c>
      <c r="H44" s="6"/>
      <c r="I44" s="6">
        <v>0</v>
      </c>
    </row>
    <row r="45" spans="1:9" x14ac:dyDescent="0.2">
      <c r="C45" t="s">
        <v>8</v>
      </c>
      <c r="E45" s="6">
        <f>60000+736728</f>
        <v>796728</v>
      </c>
      <c r="F45" s="6"/>
      <c r="G45" s="6">
        <f>638</f>
        <v>638</v>
      </c>
      <c r="H45" s="6"/>
      <c r="I45" s="6" t="s">
        <v>11</v>
      </c>
    </row>
    <row r="46" spans="1:9" x14ac:dyDescent="0.2">
      <c r="C46" t="s">
        <v>9</v>
      </c>
      <c r="E46" s="6">
        <f>180392</f>
        <v>180392</v>
      </c>
      <c r="F46" s="8"/>
      <c r="G46" s="6">
        <v>0</v>
      </c>
      <c r="H46" s="8"/>
      <c r="I46" s="6">
        <v>0</v>
      </c>
    </row>
    <row r="47" spans="1:9" x14ac:dyDescent="0.2">
      <c r="C47" t="s">
        <v>10</v>
      </c>
      <c r="E47" s="7">
        <v>0</v>
      </c>
      <c r="F47" s="7"/>
      <c r="G47" s="7">
        <v>0</v>
      </c>
      <c r="H47" s="7"/>
      <c r="I47" s="7">
        <v>0</v>
      </c>
    </row>
    <row r="48" spans="1:9" x14ac:dyDescent="0.2">
      <c r="E48" s="6">
        <f>SUM(E43:E47)</f>
        <v>2924596</v>
      </c>
      <c r="F48" s="6"/>
      <c r="G48" s="6">
        <f>SUM(G43:G47)</f>
        <v>242791</v>
      </c>
      <c r="H48" s="6"/>
      <c r="I48" s="6">
        <f>SUM(I43:I47)</f>
        <v>0</v>
      </c>
    </row>
    <row r="49" spans="1:9" x14ac:dyDescent="0.2">
      <c r="E49" s="6"/>
      <c r="F49" s="6"/>
      <c r="G49" s="6"/>
      <c r="H49" s="6"/>
      <c r="I49" s="6"/>
    </row>
    <row r="50" spans="1:9" x14ac:dyDescent="0.2">
      <c r="A50" s="11">
        <v>36982</v>
      </c>
      <c r="C50" t="s">
        <v>6</v>
      </c>
      <c r="E50" s="6">
        <f>110000+40000+30484</f>
        <v>180484</v>
      </c>
      <c r="F50" s="6"/>
      <c r="G50" s="6">
        <f>16032+9516</f>
        <v>25548</v>
      </c>
      <c r="H50" s="6"/>
      <c r="I50" s="6" t="s">
        <v>11</v>
      </c>
    </row>
    <row r="51" spans="1:9" x14ac:dyDescent="0.2">
      <c r="C51" t="s">
        <v>7</v>
      </c>
      <c r="E51" s="6">
        <v>0</v>
      </c>
      <c r="F51" s="6"/>
      <c r="G51" s="6">
        <v>0</v>
      </c>
      <c r="H51" s="6"/>
      <c r="I51" s="6">
        <v>0</v>
      </c>
    </row>
    <row r="52" spans="1:9" x14ac:dyDescent="0.2">
      <c r="C52" t="s">
        <v>8</v>
      </c>
      <c r="E52" s="6">
        <v>0</v>
      </c>
      <c r="F52" s="6"/>
      <c r="G52" s="6">
        <v>0</v>
      </c>
      <c r="H52" s="6"/>
      <c r="I52" s="6">
        <v>0</v>
      </c>
    </row>
    <row r="53" spans="1:9" x14ac:dyDescent="0.2">
      <c r="C53" t="s">
        <v>9</v>
      </c>
      <c r="E53" s="6">
        <v>0</v>
      </c>
      <c r="F53" s="8"/>
      <c r="G53" s="6">
        <v>0</v>
      </c>
      <c r="H53" s="8"/>
      <c r="I53" s="6">
        <v>0</v>
      </c>
    </row>
    <row r="54" spans="1:9" x14ac:dyDescent="0.2">
      <c r="C54" t="s">
        <v>10</v>
      </c>
      <c r="E54" s="7">
        <v>0</v>
      </c>
      <c r="F54" s="7"/>
      <c r="G54" s="7">
        <v>0</v>
      </c>
      <c r="H54" s="7"/>
      <c r="I54" s="7">
        <v>0</v>
      </c>
    </row>
    <row r="55" spans="1:9" x14ac:dyDescent="0.2">
      <c r="E55" s="6">
        <f>SUM(E50:E54)</f>
        <v>180484</v>
      </c>
      <c r="F55" s="6"/>
      <c r="G55" s="6">
        <f>SUM(G50:G54)</f>
        <v>25548</v>
      </c>
      <c r="H55" s="6"/>
      <c r="I55" s="6">
        <f>SUM(I50:I54)</f>
        <v>0</v>
      </c>
    </row>
    <row r="57" spans="1:9" x14ac:dyDescent="0.2">
      <c r="A57" s="11">
        <v>36951</v>
      </c>
      <c r="C57" t="s">
        <v>6</v>
      </c>
      <c r="E57" s="6">
        <v>3990862</v>
      </c>
      <c r="F57" s="6"/>
      <c r="G57" s="6">
        <v>394160</v>
      </c>
      <c r="H57" s="6"/>
      <c r="I57" s="6">
        <f>10832+206263+60000+4824+806+20093+1292+90050</f>
        <v>394160</v>
      </c>
    </row>
    <row r="58" spans="1:9" x14ac:dyDescent="0.2">
      <c r="C58" t="s">
        <v>7</v>
      </c>
      <c r="E58" s="6">
        <v>0</v>
      </c>
      <c r="F58" s="6"/>
      <c r="G58" s="6">
        <v>0</v>
      </c>
      <c r="H58" s="6"/>
      <c r="I58" s="6">
        <v>0</v>
      </c>
    </row>
    <row r="59" spans="1:9" x14ac:dyDescent="0.2">
      <c r="C59" t="s">
        <v>8</v>
      </c>
      <c r="E59" s="6">
        <v>260649</v>
      </c>
      <c r="F59" s="6"/>
      <c r="G59" s="6">
        <v>87039</v>
      </c>
      <c r="H59" s="6"/>
      <c r="I59" s="6">
        <f>87039</f>
        <v>87039</v>
      </c>
    </row>
    <row r="60" spans="1:9" x14ac:dyDescent="0.2">
      <c r="C60" t="s">
        <v>9</v>
      </c>
      <c r="E60" s="6">
        <v>0</v>
      </c>
      <c r="F60" s="8"/>
      <c r="G60" s="6">
        <v>0</v>
      </c>
      <c r="H60" s="8"/>
      <c r="I60" s="6">
        <v>0</v>
      </c>
    </row>
    <row r="61" spans="1:9" x14ac:dyDescent="0.2">
      <c r="C61" t="s">
        <v>10</v>
      </c>
      <c r="E61" s="7">
        <v>0</v>
      </c>
      <c r="F61" s="7"/>
      <c r="G61" s="7">
        <v>0</v>
      </c>
      <c r="H61" s="7"/>
      <c r="I61" s="7">
        <v>0</v>
      </c>
    </row>
    <row r="62" spans="1:9" x14ac:dyDescent="0.2">
      <c r="E62" s="6">
        <f>SUM(E57:E61)</f>
        <v>4251511</v>
      </c>
      <c r="F62" s="6"/>
      <c r="G62" s="6">
        <f>SUM(G57:G61)</f>
        <v>481199</v>
      </c>
      <c r="H62" s="6"/>
      <c r="I62" s="6">
        <f>SUM(I57:I61)</f>
        <v>481199</v>
      </c>
    </row>
    <row r="64" spans="1:9" x14ac:dyDescent="0.2">
      <c r="A64" s="11">
        <v>36923</v>
      </c>
      <c r="C64" t="s">
        <v>6</v>
      </c>
      <c r="E64" s="6">
        <v>1513321</v>
      </c>
      <c r="F64" s="6"/>
      <c r="G64" s="6">
        <v>531731</v>
      </c>
      <c r="H64" s="6"/>
      <c r="I64" s="6">
        <f>9500+20000+132158+35578+10000+9976+38447+20372+12821+12000+111873+6173+10000+5930+4817+10000+11556+44800+16971+1512+512+1524+14+5197</f>
        <v>531731</v>
      </c>
    </row>
    <row r="65" spans="1:9" x14ac:dyDescent="0.2">
      <c r="C65" t="s">
        <v>7</v>
      </c>
      <c r="E65" s="6">
        <v>60444</v>
      </c>
      <c r="F65" s="6"/>
      <c r="G65" s="6">
        <v>48727</v>
      </c>
      <c r="H65" s="6"/>
      <c r="I65" s="6">
        <f>45393+1667+1667</f>
        <v>48727</v>
      </c>
    </row>
    <row r="66" spans="1:9" x14ac:dyDescent="0.2">
      <c r="C66" t="s">
        <v>8</v>
      </c>
      <c r="E66" s="6">
        <v>12024</v>
      </c>
      <c r="F66" s="6"/>
      <c r="G66" s="6">
        <v>0</v>
      </c>
      <c r="H66" s="6"/>
      <c r="I66" s="6">
        <v>0</v>
      </c>
    </row>
    <row r="67" spans="1:9" x14ac:dyDescent="0.2">
      <c r="C67" t="s">
        <v>9</v>
      </c>
      <c r="E67" s="6">
        <v>0</v>
      </c>
      <c r="F67" s="8"/>
      <c r="G67" s="6">
        <v>0</v>
      </c>
      <c r="H67" s="8"/>
      <c r="I67" s="6">
        <v>0</v>
      </c>
    </row>
    <row r="68" spans="1:9" x14ac:dyDescent="0.2">
      <c r="C68" t="s">
        <v>10</v>
      </c>
      <c r="E68" s="7">
        <v>0</v>
      </c>
      <c r="F68" s="7"/>
      <c r="G68" s="7">
        <v>0</v>
      </c>
      <c r="H68" s="7"/>
      <c r="I68" s="7">
        <v>0</v>
      </c>
    </row>
    <row r="69" spans="1:9" x14ac:dyDescent="0.2">
      <c r="E69" s="6">
        <f>SUM(E64:E68)</f>
        <v>1585789</v>
      </c>
      <c r="F69" s="6"/>
      <c r="G69" s="6">
        <f>SUM(G64:G68)</f>
        <v>580458</v>
      </c>
      <c r="H69" s="6"/>
      <c r="I69" s="6">
        <f>SUM(I64:I68)</f>
        <v>580458</v>
      </c>
    </row>
    <row r="71" spans="1:9" x14ac:dyDescent="0.2">
      <c r="A71" s="11">
        <v>36892</v>
      </c>
      <c r="C71" t="s">
        <v>6</v>
      </c>
      <c r="E71" s="6">
        <v>1786910</v>
      </c>
      <c r="F71" s="6"/>
      <c r="G71" s="6">
        <v>920272</v>
      </c>
      <c r="H71" s="6"/>
      <c r="I71" s="6">
        <f>245342+5000+188249+226102+10000+21869+3711+1834+59550+10000+5017+33196+13695+10000+10000+33205+15448+555+5000+14999+7500</f>
        <v>920272</v>
      </c>
    </row>
    <row r="72" spans="1:9" x14ac:dyDescent="0.2">
      <c r="C72" t="s">
        <v>7</v>
      </c>
      <c r="E72" s="6">
        <v>198489</v>
      </c>
      <c r="F72" s="6"/>
      <c r="G72" s="6">
        <v>136987</v>
      </c>
      <c r="H72" s="6"/>
      <c r="I72" s="6">
        <f>129174+5000+2813</f>
        <v>136987</v>
      </c>
    </row>
    <row r="73" spans="1:9" x14ac:dyDescent="0.2">
      <c r="C73" t="s">
        <v>8</v>
      </c>
      <c r="E73" s="6">
        <v>0</v>
      </c>
      <c r="F73" s="6"/>
      <c r="G73" s="6">
        <v>0</v>
      </c>
      <c r="H73" s="6"/>
      <c r="I73" s="6">
        <v>0</v>
      </c>
    </row>
    <row r="74" spans="1:9" x14ac:dyDescent="0.2">
      <c r="C74" t="s">
        <v>9</v>
      </c>
      <c r="E74" s="6">
        <v>0</v>
      </c>
      <c r="F74" s="8"/>
      <c r="G74" s="6">
        <v>0</v>
      </c>
      <c r="H74" s="8"/>
      <c r="I74" s="6">
        <v>0</v>
      </c>
    </row>
    <row r="75" spans="1:9" x14ac:dyDescent="0.2">
      <c r="C75" t="s">
        <v>10</v>
      </c>
      <c r="E75" s="7">
        <v>0</v>
      </c>
      <c r="F75" s="7"/>
      <c r="G75" s="7">
        <v>0</v>
      </c>
      <c r="H75" s="7"/>
      <c r="I75" s="7">
        <v>0</v>
      </c>
    </row>
    <row r="76" spans="1:9" x14ac:dyDescent="0.2">
      <c r="E76" s="6">
        <f>SUM(E71:E75)</f>
        <v>1985399</v>
      </c>
      <c r="F76" s="6"/>
      <c r="G76" s="6">
        <f>SUM(G71:G75)</f>
        <v>1057259</v>
      </c>
      <c r="H76" s="6"/>
      <c r="I76" s="6">
        <f>SUM(I71:I75)</f>
        <v>1057259</v>
      </c>
    </row>
    <row r="78" spans="1:9" x14ac:dyDescent="0.2">
      <c r="A78" s="11">
        <v>36861</v>
      </c>
      <c r="C78" t="s">
        <v>6</v>
      </c>
      <c r="E78" s="6">
        <v>1356286</v>
      </c>
      <c r="F78" s="6"/>
      <c r="G78" s="6">
        <v>512768</v>
      </c>
      <c r="H78" s="6"/>
      <c r="I78" s="6">
        <f>17569+11090+314+216464+7264+492+187221+26753+11167+3676+244+92+3521+540+3432+22929</f>
        <v>512768</v>
      </c>
    </row>
    <row r="79" spans="1:9" x14ac:dyDescent="0.2">
      <c r="C79" t="s">
        <v>7</v>
      </c>
      <c r="E79" s="6">
        <v>746667</v>
      </c>
      <c r="F79" s="6"/>
      <c r="G79" s="6">
        <v>407606</v>
      </c>
      <c r="H79" s="6"/>
      <c r="I79" s="6">
        <f>138957+88093+23084+1666+11754+4614+20000+15476+30524+30038+3333+169+1332+19551+19015</f>
        <v>407606</v>
      </c>
    </row>
    <row r="80" spans="1:9" x14ac:dyDescent="0.2">
      <c r="C80" t="s">
        <v>8</v>
      </c>
      <c r="E80" s="6">
        <v>123286</v>
      </c>
      <c r="F80" s="6"/>
      <c r="G80" s="6">
        <v>40749</v>
      </c>
      <c r="H80" s="6"/>
      <c r="I80" s="6">
        <f>523+5827+6895+7951+7857+11696</f>
        <v>40749</v>
      </c>
    </row>
    <row r="81" spans="1:9" x14ac:dyDescent="0.2">
      <c r="C81" t="s">
        <v>9</v>
      </c>
      <c r="E81" s="6">
        <v>0</v>
      </c>
      <c r="F81" s="8"/>
      <c r="G81" s="6">
        <v>0</v>
      </c>
      <c r="H81" s="8"/>
      <c r="I81" s="6">
        <v>0</v>
      </c>
    </row>
    <row r="82" spans="1:9" x14ac:dyDescent="0.2">
      <c r="C82" t="s">
        <v>10</v>
      </c>
      <c r="E82" s="7">
        <v>0</v>
      </c>
      <c r="F82" s="7"/>
      <c r="G82" s="7">
        <v>0</v>
      </c>
      <c r="H82" s="7"/>
      <c r="I82" s="7">
        <v>0</v>
      </c>
    </row>
    <row r="83" spans="1:9" x14ac:dyDescent="0.2">
      <c r="E83" s="6">
        <f>SUM(E78:E82)</f>
        <v>2226239</v>
      </c>
      <c r="F83" s="6"/>
      <c r="G83" s="6">
        <f>SUM(G78:G82)</f>
        <v>961123</v>
      </c>
      <c r="H83" s="6"/>
      <c r="I83" s="6">
        <f>SUM(I78:I82)</f>
        <v>961123</v>
      </c>
    </row>
    <row r="85" spans="1:9" x14ac:dyDescent="0.2">
      <c r="A85" s="11">
        <v>36831</v>
      </c>
      <c r="C85" t="s">
        <v>6</v>
      </c>
      <c r="E85" s="6">
        <v>969845</v>
      </c>
      <c r="F85" s="6"/>
      <c r="G85" s="6">
        <v>110757</v>
      </c>
      <c r="H85" s="6"/>
      <c r="I85" s="6">
        <f>18467+31584+7815+52891</f>
        <v>110757</v>
      </c>
    </row>
    <row r="86" spans="1:9" x14ac:dyDescent="0.2">
      <c r="C86" t="s">
        <v>7</v>
      </c>
      <c r="E86" s="6">
        <v>90000</v>
      </c>
      <c r="F86" s="6"/>
      <c r="G86" s="6">
        <v>26666</v>
      </c>
      <c r="H86" s="6"/>
      <c r="I86" s="6">
        <f>3333+23333</f>
        <v>26666</v>
      </c>
    </row>
    <row r="87" spans="1:9" x14ac:dyDescent="0.2">
      <c r="C87" t="s">
        <v>8</v>
      </c>
      <c r="E87" s="6">
        <v>225860</v>
      </c>
      <c r="F87" s="6"/>
      <c r="G87" s="6">
        <v>58354</v>
      </c>
      <c r="H87" s="6"/>
      <c r="I87" s="6">
        <f>58354</f>
        <v>58354</v>
      </c>
    </row>
    <row r="88" spans="1:9" x14ac:dyDescent="0.2">
      <c r="C88" t="s">
        <v>9</v>
      </c>
      <c r="E88" s="6">
        <v>8347</v>
      </c>
      <c r="F88" s="8"/>
      <c r="G88" s="6">
        <v>7597</v>
      </c>
      <c r="H88" s="8"/>
      <c r="I88" s="6">
        <v>7597</v>
      </c>
    </row>
    <row r="89" spans="1:9" x14ac:dyDescent="0.2">
      <c r="C89" t="s">
        <v>10</v>
      </c>
      <c r="E89" s="7">
        <v>0</v>
      </c>
      <c r="F89" s="7"/>
      <c r="G89" s="7">
        <v>0</v>
      </c>
      <c r="H89" s="7"/>
      <c r="I89" s="7">
        <v>0</v>
      </c>
    </row>
    <row r="90" spans="1:9" x14ac:dyDescent="0.2">
      <c r="E90" s="6">
        <f>SUM(E85:E89)</f>
        <v>1294052</v>
      </c>
      <c r="F90" s="6"/>
      <c r="G90" s="6">
        <f>SUM(G85:G89)</f>
        <v>203374</v>
      </c>
      <c r="H90" s="6"/>
      <c r="I90" s="6">
        <f>SUM(I85:I89)</f>
        <v>203374</v>
      </c>
    </row>
    <row r="91" spans="1:9" x14ac:dyDescent="0.2">
      <c r="E91" s="6"/>
      <c r="F91" s="6"/>
      <c r="G91" s="6"/>
      <c r="H91" s="6"/>
      <c r="I91" s="6"/>
    </row>
    <row r="92" spans="1:9" x14ac:dyDescent="0.2">
      <c r="A92" s="11">
        <v>36800</v>
      </c>
      <c r="C92" t="s">
        <v>6</v>
      </c>
      <c r="E92" s="6">
        <v>1579637</v>
      </c>
      <c r="F92" s="6"/>
      <c r="G92" s="6">
        <v>318423</v>
      </c>
      <c r="H92" s="6"/>
      <c r="I92" s="6">
        <v>318423</v>
      </c>
    </row>
    <row r="93" spans="1:9" x14ac:dyDescent="0.2">
      <c r="C93" t="s">
        <v>7</v>
      </c>
      <c r="E93" s="6">
        <v>162907</v>
      </c>
      <c r="F93" s="6"/>
      <c r="G93" s="6">
        <v>159574</v>
      </c>
      <c r="H93" s="6"/>
      <c r="I93" s="6">
        <v>157074</v>
      </c>
    </row>
    <row r="94" spans="1:9" x14ac:dyDescent="0.2">
      <c r="C94" t="s">
        <v>8</v>
      </c>
      <c r="E94" s="6">
        <v>615988</v>
      </c>
      <c r="F94" s="6"/>
      <c r="G94" s="6">
        <v>500298</v>
      </c>
      <c r="H94" s="6"/>
      <c r="I94" s="6">
        <f>174650+10634+308839+6175</f>
        <v>500298</v>
      </c>
    </row>
    <row r="95" spans="1:9" x14ac:dyDescent="0.2">
      <c r="C95" t="s">
        <v>9</v>
      </c>
      <c r="E95" s="8">
        <v>147636</v>
      </c>
      <c r="F95" s="8"/>
      <c r="G95" s="8">
        <v>135000</v>
      </c>
      <c r="H95" s="8"/>
      <c r="I95" s="8">
        <f>19032+115968</f>
        <v>135000</v>
      </c>
    </row>
    <row r="96" spans="1:9" x14ac:dyDescent="0.2">
      <c r="C96" t="s">
        <v>10</v>
      </c>
      <c r="E96" s="7">
        <v>0</v>
      </c>
      <c r="F96" s="7"/>
      <c r="G96" s="7">
        <v>0</v>
      </c>
      <c r="H96" s="7"/>
      <c r="I96" s="7">
        <v>0</v>
      </c>
    </row>
    <row r="97" spans="1:9" x14ac:dyDescent="0.2">
      <c r="E97" s="6">
        <f>SUM(E92:E96)</f>
        <v>2506168</v>
      </c>
      <c r="F97" s="6"/>
      <c r="G97" s="6">
        <f>SUM(G92:G96)</f>
        <v>1113295</v>
      </c>
      <c r="H97" s="6"/>
      <c r="I97" s="6">
        <f>SUM(I92:I96)</f>
        <v>1110795</v>
      </c>
    </row>
    <row r="98" spans="1:9" x14ac:dyDescent="0.2">
      <c r="E98" s="6"/>
      <c r="F98" s="6"/>
      <c r="G98" s="6"/>
      <c r="H98" s="6"/>
      <c r="I98" s="6"/>
    </row>
    <row r="99" spans="1:9" x14ac:dyDescent="0.2">
      <c r="A99" s="3">
        <v>36770</v>
      </c>
      <c r="C99" t="s">
        <v>6</v>
      </c>
      <c r="E99" s="6">
        <v>1434998</v>
      </c>
      <c r="F99" s="6"/>
      <c r="G99" s="6">
        <v>243210</v>
      </c>
      <c r="H99" s="6"/>
      <c r="I99" s="6">
        <f>55539+3088+3088+3088+3088+15291+122811+11764+20000+5453</f>
        <v>243210</v>
      </c>
    </row>
    <row r="100" spans="1:9" x14ac:dyDescent="0.2">
      <c r="C100" t="s">
        <v>7</v>
      </c>
      <c r="E100" s="6">
        <v>256701</v>
      </c>
      <c r="G100" s="6">
        <v>217008</v>
      </c>
      <c r="H100" s="6"/>
      <c r="I100" s="6">
        <f>23794+168515+7699+16249+751</f>
        <v>217008</v>
      </c>
    </row>
    <row r="101" spans="1:9" x14ac:dyDescent="0.2">
      <c r="C101" t="s">
        <v>8</v>
      </c>
      <c r="E101" s="6">
        <v>745686</v>
      </c>
      <c r="F101" s="6"/>
      <c r="G101" s="6">
        <v>417491</v>
      </c>
      <c r="H101" s="6"/>
      <c r="I101" s="6">
        <f>269563+12922+3048+106232+1+25725</f>
        <v>417491</v>
      </c>
    </row>
    <row r="102" spans="1:9" x14ac:dyDescent="0.2">
      <c r="C102" t="s">
        <v>9</v>
      </c>
      <c r="E102" s="6">
        <v>349526</v>
      </c>
      <c r="F102" s="6"/>
      <c r="G102" s="6">
        <v>220000</v>
      </c>
      <c r="H102" s="6"/>
      <c r="I102" s="6">
        <f>39199+180801</f>
        <v>220000</v>
      </c>
    </row>
    <row r="103" spans="1:9" x14ac:dyDescent="0.2">
      <c r="C103" t="s">
        <v>10</v>
      </c>
      <c r="E103" s="7">
        <v>7549</v>
      </c>
      <c r="F103" s="7"/>
      <c r="G103" s="7">
        <v>0</v>
      </c>
      <c r="H103" s="7"/>
      <c r="I103" s="7">
        <v>0</v>
      </c>
    </row>
    <row r="104" spans="1:9" x14ac:dyDescent="0.2">
      <c r="E104" s="6">
        <f>SUM(E99:E103)</f>
        <v>2794460</v>
      </c>
      <c r="F104" s="6"/>
      <c r="G104" s="6">
        <f>SUM(G99:G103)</f>
        <v>1097709</v>
      </c>
      <c r="H104" s="6"/>
      <c r="I104" s="6">
        <f>SUM(I99:I103)</f>
        <v>1097709</v>
      </c>
    </row>
    <row r="105" spans="1:9" x14ac:dyDescent="0.2">
      <c r="E105" s="6"/>
      <c r="F105" s="6"/>
      <c r="G105" s="6"/>
      <c r="H105" s="6"/>
      <c r="I105" s="6"/>
    </row>
    <row r="106" spans="1:9" x14ac:dyDescent="0.2">
      <c r="A106" s="3">
        <v>36739</v>
      </c>
      <c r="C106" t="s">
        <v>6</v>
      </c>
      <c r="E106" s="6">
        <v>2115798</v>
      </c>
      <c r="F106" s="6"/>
      <c r="G106" s="6">
        <v>180488</v>
      </c>
      <c r="H106" s="6"/>
      <c r="I106" s="6">
        <f>7775+7270+2524+10027+39990+950+1008+435+45190+19176+27734+4163+6646+7600</f>
        <v>180488</v>
      </c>
    </row>
    <row r="107" spans="1:9" x14ac:dyDescent="0.2">
      <c r="C107" t="s">
        <v>7</v>
      </c>
      <c r="E107" s="6">
        <v>393577</v>
      </c>
      <c r="G107" s="6">
        <v>268921</v>
      </c>
      <c r="H107" s="6"/>
      <c r="I107" s="6">
        <f>99026+153339+15000+1556</f>
        <v>268921</v>
      </c>
    </row>
    <row r="108" spans="1:9" x14ac:dyDescent="0.2">
      <c r="C108" t="s">
        <v>8</v>
      </c>
      <c r="E108" s="6">
        <v>596504</v>
      </c>
      <c r="F108" s="6"/>
      <c r="G108" s="6">
        <v>282470</v>
      </c>
      <c r="H108" s="6"/>
      <c r="I108" s="6">
        <f>129260+1043+10422+14091+108211+19443</f>
        <v>282470</v>
      </c>
    </row>
    <row r="109" spans="1:9" x14ac:dyDescent="0.2">
      <c r="C109" t="s">
        <v>9</v>
      </c>
      <c r="E109" s="6">
        <v>0</v>
      </c>
      <c r="F109" s="6"/>
      <c r="G109" s="6">
        <v>0</v>
      </c>
      <c r="H109" s="6"/>
      <c r="I109" s="6">
        <v>0</v>
      </c>
    </row>
    <row r="110" spans="1:9" x14ac:dyDescent="0.2">
      <c r="C110" t="s">
        <v>10</v>
      </c>
      <c r="E110" s="7">
        <v>9862</v>
      </c>
      <c r="F110" s="7"/>
      <c r="G110" s="7">
        <v>0</v>
      </c>
      <c r="H110" s="7"/>
      <c r="I110" s="7">
        <v>0</v>
      </c>
    </row>
    <row r="111" spans="1:9" x14ac:dyDescent="0.2">
      <c r="E111" s="6">
        <f>SUM(E106:E110)</f>
        <v>3115741</v>
      </c>
      <c r="F111" s="6"/>
      <c r="G111" s="6">
        <f>SUM(G106:G110)</f>
        <v>731879</v>
      </c>
      <c r="H111" s="6"/>
      <c r="I111" s="6">
        <f>SUM(I106:I110)</f>
        <v>731879</v>
      </c>
    </row>
    <row r="112" spans="1:9" x14ac:dyDescent="0.2">
      <c r="A112" s="3"/>
      <c r="E112" s="6"/>
      <c r="F112" s="6"/>
      <c r="G112" s="6"/>
      <c r="H112" s="6"/>
      <c r="I112" s="6"/>
    </row>
    <row r="113" spans="1:9" x14ac:dyDescent="0.2">
      <c r="A113" s="3">
        <v>36708</v>
      </c>
      <c r="C113" t="s">
        <v>6</v>
      </c>
      <c r="E113" s="6">
        <v>2001862</v>
      </c>
      <c r="F113" s="6"/>
      <c r="G113" s="6">
        <v>137405</v>
      </c>
      <c r="H113" s="6"/>
      <c r="I113" s="6">
        <f>29569+50229+30554+17485+2708+3177+3683</f>
        <v>137405</v>
      </c>
    </row>
    <row r="114" spans="1:9" x14ac:dyDescent="0.2">
      <c r="A114" s="3"/>
      <c r="C114" t="s">
        <v>7</v>
      </c>
      <c r="E114" s="6">
        <v>0</v>
      </c>
      <c r="G114" s="6">
        <v>0</v>
      </c>
      <c r="H114" s="6"/>
      <c r="I114" s="6">
        <v>0</v>
      </c>
    </row>
    <row r="115" spans="1:9" x14ac:dyDescent="0.2">
      <c r="A115" s="3"/>
      <c r="C115" t="s">
        <v>8</v>
      </c>
      <c r="E115" s="6">
        <v>493114</v>
      </c>
      <c r="F115" s="6"/>
      <c r="G115" s="6">
        <v>374456</v>
      </c>
      <c r="H115" s="6"/>
      <c r="I115" s="6">
        <f>8911+162082+4571+195831+3061</f>
        <v>374456</v>
      </c>
    </row>
    <row r="116" spans="1:9" x14ac:dyDescent="0.2">
      <c r="A116" s="3"/>
      <c r="C116" t="s">
        <v>9</v>
      </c>
      <c r="E116" s="6">
        <v>0</v>
      </c>
      <c r="F116" s="6"/>
      <c r="G116" s="6">
        <v>0</v>
      </c>
      <c r="H116" s="6"/>
      <c r="I116" s="6">
        <v>0</v>
      </c>
    </row>
    <row r="117" spans="1:9" x14ac:dyDescent="0.2">
      <c r="A117" s="3"/>
      <c r="C117" t="s">
        <v>10</v>
      </c>
      <c r="E117" s="7">
        <v>0</v>
      </c>
      <c r="F117" s="7"/>
      <c r="G117" s="7">
        <v>0</v>
      </c>
      <c r="H117" s="7"/>
      <c r="I117" s="7">
        <v>0</v>
      </c>
    </row>
    <row r="118" spans="1:9" x14ac:dyDescent="0.2">
      <c r="A118" s="3"/>
      <c r="E118" s="6">
        <f>SUM(E113:E117)</f>
        <v>2494976</v>
      </c>
      <c r="F118" s="6"/>
      <c r="G118" s="6">
        <f>SUM(G113:G117)</f>
        <v>511861</v>
      </c>
      <c r="H118" s="6"/>
      <c r="I118" s="6">
        <f>SUM(I113:I117)</f>
        <v>511861</v>
      </c>
    </row>
    <row r="119" spans="1:9" x14ac:dyDescent="0.2">
      <c r="A119" s="3"/>
      <c r="E119" s="6"/>
      <c r="F119" s="6"/>
      <c r="G119" s="6"/>
      <c r="H119" s="6"/>
      <c r="I119" s="6"/>
    </row>
    <row r="120" spans="1:9" x14ac:dyDescent="0.2">
      <c r="A120" s="3">
        <v>36678</v>
      </c>
      <c r="C120" t="s">
        <v>6</v>
      </c>
      <c r="E120" s="6">
        <v>1050832</v>
      </c>
      <c r="F120" s="6"/>
      <c r="G120" s="6">
        <v>113921</v>
      </c>
      <c r="H120" s="6"/>
      <c r="I120" s="6">
        <f>4207+91788+10616+7121+189</f>
        <v>113921</v>
      </c>
    </row>
    <row r="121" spans="1:9" x14ac:dyDescent="0.2">
      <c r="A121" s="3"/>
      <c r="C121" t="s">
        <v>7</v>
      </c>
      <c r="E121" s="6">
        <v>0</v>
      </c>
      <c r="G121" s="6">
        <v>0</v>
      </c>
      <c r="H121" s="6"/>
      <c r="I121" s="6">
        <v>0</v>
      </c>
    </row>
    <row r="122" spans="1:9" x14ac:dyDescent="0.2">
      <c r="A122" s="3"/>
      <c r="C122" t="s">
        <v>8</v>
      </c>
      <c r="E122" s="6">
        <v>1204355</v>
      </c>
      <c r="F122" s="6"/>
      <c r="G122" s="6">
        <v>1102737</v>
      </c>
      <c r="H122" s="6"/>
      <c r="I122" s="6">
        <f>596163+10911+171563+8322+14756+301022</f>
        <v>1102737</v>
      </c>
    </row>
    <row r="123" spans="1:9" x14ac:dyDescent="0.2">
      <c r="A123" s="3"/>
      <c r="C123" t="s">
        <v>9</v>
      </c>
      <c r="E123" s="6">
        <v>0</v>
      </c>
      <c r="F123" s="6"/>
      <c r="G123" s="6">
        <v>0</v>
      </c>
      <c r="H123" s="6"/>
      <c r="I123" s="6">
        <v>0</v>
      </c>
    </row>
    <row r="124" spans="1:9" x14ac:dyDescent="0.2">
      <c r="A124" s="3"/>
      <c r="C124" t="s">
        <v>10</v>
      </c>
      <c r="E124" s="7">
        <v>0</v>
      </c>
      <c r="F124" s="7"/>
      <c r="G124" s="7">
        <v>0</v>
      </c>
      <c r="H124" s="7"/>
      <c r="I124" s="7">
        <v>0</v>
      </c>
    </row>
    <row r="125" spans="1:9" x14ac:dyDescent="0.2">
      <c r="A125" s="3"/>
      <c r="E125" s="6">
        <f>SUM(E120:E124)</f>
        <v>2255187</v>
      </c>
      <c r="F125" s="6"/>
      <c r="G125" s="6">
        <f>SUM(G120:G124)</f>
        <v>1216658</v>
      </c>
      <c r="H125" s="6"/>
      <c r="I125" s="6">
        <f>SUM(I120:I124)</f>
        <v>1216658</v>
      </c>
    </row>
    <row r="126" spans="1:9" x14ac:dyDescent="0.2">
      <c r="A126" s="3"/>
      <c r="E126" s="6"/>
      <c r="F126" s="6"/>
      <c r="G126" s="6"/>
      <c r="H126" s="6"/>
      <c r="I126" s="6"/>
    </row>
    <row r="127" spans="1:9" x14ac:dyDescent="0.2">
      <c r="A127" s="3">
        <v>36647</v>
      </c>
      <c r="C127" t="s">
        <v>6</v>
      </c>
      <c r="E127" s="6">
        <v>666072</v>
      </c>
      <c r="F127" s="6"/>
      <c r="G127" s="6">
        <v>241764</v>
      </c>
      <c r="H127" s="6"/>
      <c r="I127" s="6">
        <f>5000+5000+4866+40000+5000+25542+11419+34082+35074+22569+53212</f>
        <v>241764</v>
      </c>
    </row>
    <row r="128" spans="1:9" x14ac:dyDescent="0.2">
      <c r="A128" s="3"/>
      <c r="C128" t="s">
        <v>7</v>
      </c>
      <c r="E128" s="6">
        <v>60200</v>
      </c>
      <c r="G128" s="6">
        <v>60200</v>
      </c>
      <c r="H128" s="6"/>
      <c r="I128" s="6">
        <f>15000+2545+20622+12349+9684</f>
        <v>60200</v>
      </c>
    </row>
    <row r="129" spans="1:9" x14ac:dyDescent="0.2">
      <c r="A129" s="3"/>
      <c r="C129" t="s">
        <v>8</v>
      </c>
      <c r="E129" s="6">
        <v>0</v>
      </c>
      <c r="F129" s="6"/>
      <c r="G129" s="6">
        <v>0</v>
      </c>
      <c r="H129" s="6"/>
      <c r="I129" s="6">
        <v>0</v>
      </c>
    </row>
    <row r="130" spans="1:9" x14ac:dyDescent="0.2">
      <c r="A130" s="3"/>
      <c r="C130" t="s">
        <v>9</v>
      </c>
      <c r="E130" s="6">
        <v>0</v>
      </c>
      <c r="F130" s="6"/>
      <c r="G130" s="6">
        <v>0</v>
      </c>
      <c r="H130" s="6"/>
      <c r="I130" s="6">
        <v>0</v>
      </c>
    </row>
    <row r="131" spans="1:9" x14ac:dyDescent="0.2">
      <c r="A131" s="3"/>
      <c r="C131" t="s">
        <v>10</v>
      </c>
      <c r="E131" s="7">
        <v>181307</v>
      </c>
      <c r="F131" s="7"/>
      <c r="G131" s="7">
        <v>170637</v>
      </c>
      <c r="H131" s="7"/>
      <c r="I131" s="7">
        <f>572+935+3206+13246+7073+11451+5473+1020+11035+17410+15198+8775+759+17331+41041+5066+1681+4864+2887+1614</f>
        <v>170637</v>
      </c>
    </row>
    <row r="132" spans="1:9" x14ac:dyDescent="0.2">
      <c r="A132" s="3"/>
      <c r="E132" s="6">
        <f>SUM(E127:E131)</f>
        <v>907579</v>
      </c>
      <c r="F132" s="6"/>
      <c r="G132" s="6">
        <f>SUM(G127:G131)</f>
        <v>472601</v>
      </c>
      <c r="H132" s="6"/>
      <c r="I132" s="6">
        <f>SUM(I127:I131)</f>
        <v>472601</v>
      </c>
    </row>
    <row r="133" spans="1:9" x14ac:dyDescent="0.2">
      <c r="A133" s="3"/>
      <c r="E133" s="6"/>
      <c r="F133" s="6"/>
      <c r="G133" s="6"/>
      <c r="H133" s="6"/>
      <c r="I133" s="6"/>
    </row>
    <row r="147" spans="1:10" x14ac:dyDescent="0.2">
      <c r="A147" s="9"/>
      <c r="B147" s="10"/>
      <c r="C147" s="10"/>
      <c r="D147" s="10"/>
      <c r="E147" s="8"/>
      <c r="F147" s="8"/>
      <c r="G147" s="8"/>
      <c r="H147" s="8"/>
      <c r="I147" s="8"/>
      <c r="J147" s="10"/>
    </row>
    <row r="148" spans="1:10" x14ac:dyDescent="0.2">
      <c r="A148" s="9"/>
      <c r="B148" s="10"/>
      <c r="C148" s="10"/>
      <c r="D148" s="10"/>
      <c r="E148" s="8"/>
      <c r="F148" s="8"/>
      <c r="G148" s="8"/>
      <c r="H148" s="8"/>
      <c r="I148" s="8"/>
      <c r="J148" s="10"/>
    </row>
    <row r="149" spans="1:10" x14ac:dyDescent="0.2">
      <c r="A149" s="9"/>
      <c r="B149" s="10"/>
      <c r="C149" s="10"/>
      <c r="D149" s="10"/>
      <c r="E149" s="8"/>
      <c r="F149" s="8"/>
      <c r="G149" s="8"/>
      <c r="H149" s="8"/>
      <c r="I149" s="8"/>
      <c r="J149" s="10"/>
    </row>
    <row r="150" spans="1:10" x14ac:dyDescent="0.2">
      <c r="A150" s="9"/>
      <c r="B150" s="10"/>
      <c r="C150" s="10"/>
      <c r="D150" s="10"/>
      <c r="E150" s="8"/>
      <c r="F150" s="8"/>
      <c r="G150" s="8"/>
      <c r="H150" s="8"/>
      <c r="I150" s="8"/>
      <c r="J150" s="10"/>
    </row>
    <row r="151" spans="1:10" x14ac:dyDescent="0.2">
      <c r="A151" s="9"/>
      <c r="B151" s="10"/>
      <c r="C151" s="10"/>
      <c r="D151" s="10"/>
      <c r="E151" s="8"/>
      <c r="F151" s="8"/>
      <c r="G151" s="8"/>
      <c r="H151" s="8"/>
      <c r="I151" s="8"/>
      <c r="J151" s="10"/>
    </row>
    <row r="152" spans="1:10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</row>
    <row r="154" spans="1:10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10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10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10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10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</row>
    <row r="184" spans="1:10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</row>
    <row r="185" spans="1:10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</row>
    <row r="186" spans="1:10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</row>
    <row r="187" spans="1:10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</row>
    <row r="188" spans="1:10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</row>
    <row r="189" spans="1:10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</row>
    <row r="190" spans="1:10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</row>
    <row r="191" spans="1:10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</row>
    <row r="193" spans="1:10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</row>
    <row r="194" spans="1:10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</row>
    <row r="195" spans="1:10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</row>
    <row r="196" spans="1:10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</row>
    <row r="197" spans="1:10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</row>
    <row r="198" spans="1:10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</row>
    <row r="199" spans="1:10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</row>
    <row r="200" spans="1:10" x14ac:dyDescent="0.2">
      <c r="A200" s="3"/>
    </row>
    <row r="201" spans="1:10" x14ac:dyDescent="0.2">
      <c r="A201" s="3"/>
    </row>
    <row r="202" spans="1:10" x14ac:dyDescent="0.2">
      <c r="A202" s="3"/>
    </row>
    <row r="203" spans="1:10" x14ac:dyDescent="0.2">
      <c r="A203" s="3"/>
    </row>
    <row r="204" spans="1:10" x14ac:dyDescent="0.2">
      <c r="A204" s="3"/>
    </row>
    <row r="205" spans="1:10" x14ac:dyDescent="0.2">
      <c r="A205" s="3"/>
    </row>
    <row r="206" spans="1:10" x14ac:dyDescent="0.2">
      <c r="A206" s="3"/>
    </row>
    <row r="207" spans="1:10" x14ac:dyDescent="0.2">
      <c r="A207" s="3"/>
    </row>
    <row r="208" spans="1:10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</sheetData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48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13" workbookViewId="0">
      <selection activeCell="I40" sqref="I40"/>
    </sheetView>
  </sheetViews>
  <sheetFormatPr defaultRowHeight="12.75" x14ac:dyDescent="0.2"/>
  <cols>
    <col min="1" max="1" width="4.7109375" customWidth="1"/>
    <col min="2" max="2" width="2.7109375" customWidth="1"/>
    <col min="3" max="3" width="25" customWidth="1"/>
    <col min="4" max="4" width="2.7109375" customWidth="1"/>
    <col min="5" max="5" width="21.42578125" customWidth="1"/>
    <col min="6" max="6" width="2.7109375" customWidth="1"/>
    <col min="7" max="7" width="27.42578125" customWidth="1"/>
    <col min="9" max="9" width="18" bestFit="1" customWidth="1"/>
  </cols>
  <sheetData>
    <row r="1" spans="1:10" ht="18" x14ac:dyDescent="0.25">
      <c r="A1" s="2" t="s">
        <v>0</v>
      </c>
    </row>
    <row r="3" spans="1:10" ht="15.75" x14ac:dyDescent="0.25">
      <c r="A3" s="13" t="s">
        <v>19</v>
      </c>
    </row>
    <row r="4" spans="1:10" ht="13.5" thickBot="1" x14ac:dyDescent="0.25"/>
    <row r="5" spans="1:10" x14ac:dyDescent="0.2">
      <c r="A5" s="21" t="s">
        <v>12</v>
      </c>
      <c r="B5" s="22"/>
      <c r="C5" s="22"/>
      <c r="D5" s="22"/>
      <c r="E5" s="23"/>
      <c r="F5" s="23"/>
      <c r="G5" s="24"/>
      <c r="H5" s="8"/>
      <c r="I5" s="8"/>
      <c r="J5" s="10"/>
    </row>
    <row r="6" spans="1:10" x14ac:dyDescent="0.2">
      <c r="A6" s="25"/>
      <c r="B6" s="10"/>
      <c r="C6" s="10"/>
      <c r="D6" s="10"/>
      <c r="E6" s="8"/>
      <c r="F6" s="8"/>
      <c r="G6" s="26"/>
      <c r="H6" s="8"/>
      <c r="I6" s="8"/>
      <c r="J6" s="10"/>
    </row>
    <row r="7" spans="1:10" ht="26.25" customHeight="1" x14ac:dyDescent="0.2">
      <c r="A7" s="25"/>
      <c r="B7" s="10"/>
      <c r="C7" s="10"/>
      <c r="D7" s="10"/>
      <c r="E7" s="15" t="s">
        <v>18</v>
      </c>
      <c r="F7" s="7"/>
      <c r="G7" s="27" t="s">
        <v>22</v>
      </c>
      <c r="H7" s="8"/>
      <c r="I7" s="8"/>
      <c r="J7" s="10"/>
    </row>
    <row r="8" spans="1:10" x14ac:dyDescent="0.2">
      <c r="A8" s="25"/>
      <c r="B8" s="10"/>
      <c r="C8" s="10"/>
      <c r="D8" s="10"/>
      <c r="E8" s="8"/>
      <c r="F8" s="8"/>
      <c r="G8" s="26"/>
      <c r="H8" s="8"/>
      <c r="I8" s="8"/>
      <c r="J8" s="10"/>
    </row>
    <row r="9" spans="1:10" x14ac:dyDescent="0.2">
      <c r="A9" s="25"/>
      <c r="B9" s="10"/>
      <c r="C9" s="17" t="s">
        <v>16</v>
      </c>
      <c r="D9" s="10"/>
      <c r="E9" s="8">
        <v>400000</v>
      </c>
      <c r="F9" s="10"/>
      <c r="G9" s="26">
        <f>400000*549</f>
        <v>219600000</v>
      </c>
      <c r="H9" s="8"/>
      <c r="I9" s="8"/>
      <c r="J9" s="10"/>
    </row>
    <row r="10" spans="1:10" x14ac:dyDescent="0.2">
      <c r="A10" s="25"/>
      <c r="B10" s="10"/>
      <c r="C10" s="17"/>
      <c r="D10" s="10"/>
      <c r="E10" s="8"/>
      <c r="F10" s="10"/>
      <c r="G10" s="26"/>
      <c r="H10" s="8"/>
      <c r="I10" s="8"/>
      <c r="J10" s="10"/>
    </row>
    <row r="11" spans="1:10" x14ac:dyDescent="0.2">
      <c r="A11" s="25"/>
      <c r="B11" s="10"/>
      <c r="C11" s="17" t="s">
        <v>15</v>
      </c>
      <c r="D11" s="28" t="s">
        <v>20</v>
      </c>
      <c r="E11" s="29">
        <f>G11/549</f>
        <v>20420.096539162114</v>
      </c>
      <c r="F11" s="10"/>
      <c r="G11" s="26">
        <f>SUM(monthly!G13,monthly!G20,monthly!G27,monthly!G34,monthly!G41,monthly!G48,monthly!G55,monthly!G62,monthly!G69,monthly!G76,monthly!G83,monthly!G90,monthly!G97,monthly!G104,monthly!G111,monthly!G118,monthly!G125,monthly!G132)</f>
        <v>11210633</v>
      </c>
      <c r="H11" s="8"/>
      <c r="I11" s="8"/>
      <c r="J11" s="10"/>
    </row>
    <row r="12" spans="1:10" ht="12.75" customHeight="1" x14ac:dyDescent="0.2">
      <c r="A12" s="25"/>
      <c r="B12" s="10"/>
      <c r="C12" s="10"/>
      <c r="D12" s="10"/>
      <c r="E12" s="12"/>
      <c r="F12" s="8"/>
      <c r="G12" s="26"/>
      <c r="H12" s="8"/>
      <c r="I12" s="8"/>
      <c r="J12" s="10"/>
    </row>
    <row r="13" spans="1:10" ht="12.75" customHeight="1" x14ac:dyDescent="0.2">
      <c r="A13" s="25"/>
      <c r="B13" s="10"/>
      <c r="C13" s="17" t="s">
        <v>24</v>
      </c>
      <c r="D13" s="10"/>
      <c r="E13" s="10"/>
      <c r="F13" s="8"/>
      <c r="G13" s="30">
        <f>E11/E9</f>
        <v>5.1050241347905284E-2</v>
      </c>
      <c r="H13" s="8"/>
      <c r="I13" s="8"/>
      <c r="J13" s="10"/>
    </row>
    <row r="14" spans="1:10" ht="12.75" customHeight="1" x14ac:dyDescent="0.2">
      <c r="A14" s="25"/>
      <c r="B14" s="10"/>
      <c r="C14" s="10"/>
      <c r="D14" s="10"/>
      <c r="E14" s="12"/>
      <c r="F14" s="8"/>
      <c r="G14" s="26"/>
      <c r="H14" s="8"/>
      <c r="I14" s="8"/>
      <c r="J14" s="10"/>
    </row>
    <row r="15" spans="1:10" ht="12.75" customHeight="1" thickBot="1" x14ac:dyDescent="0.25">
      <c r="A15" s="31"/>
      <c r="B15" s="32"/>
      <c r="C15" s="32" t="s">
        <v>21</v>
      </c>
      <c r="D15" s="32"/>
      <c r="E15" s="33"/>
      <c r="F15" s="34"/>
      <c r="G15" s="35"/>
      <c r="H15" s="8"/>
      <c r="I15" s="8"/>
      <c r="J15" s="10"/>
    </row>
    <row r="16" spans="1:10" ht="12.75" customHeight="1" x14ac:dyDescent="0.2">
      <c r="A16" s="14"/>
      <c r="B16" s="10"/>
      <c r="C16" s="10"/>
      <c r="D16" s="10"/>
      <c r="E16" s="12"/>
      <c r="F16" s="8"/>
      <c r="G16" s="8"/>
      <c r="H16" s="8"/>
      <c r="I16" s="8"/>
      <c r="J16" s="10"/>
    </row>
    <row r="17" spans="1:10" ht="12.75" customHeight="1" thickBot="1" x14ac:dyDescent="0.25">
      <c r="A17" s="14"/>
      <c r="B17" s="10"/>
      <c r="C17" s="10"/>
      <c r="E17" s="10"/>
      <c r="F17" s="8"/>
      <c r="G17" s="8"/>
      <c r="H17" s="8"/>
      <c r="I17" s="8"/>
      <c r="J17" s="10"/>
    </row>
    <row r="18" spans="1:10" x14ac:dyDescent="0.2">
      <c r="A18" s="21" t="s">
        <v>13</v>
      </c>
      <c r="B18" s="22"/>
      <c r="C18" s="22"/>
      <c r="D18" s="22"/>
      <c r="E18" s="22"/>
      <c r="F18" s="23"/>
      <c r="G18" s="24"/>
      <c r="H18" s="8"/>
      <c r="I18" s="8"/>
      <c r="J18" s="10"/>
    </row>
    <row r="19" spans="1:10" x14ac:dyDescent="0.2">
      <c r="A19" s="25"/>
      <c r="B19" s="10"/>
      <c r="C19" s="10"/>
      <c r="D19" s="10"/>
      <c r="E19" s="10"/>
      <c r="F19" s="8"/>
      <c r="G19" s="26"/>
      <c r="H19" s="8"/>
      <c r="I19" s="8"/>
      <c r="J19" s="10"/>
    </row>
    <row r="20" spans="1:10" ht="25.5" x14ac:dyDescent="0.2">
      <c r="A20" s="25"/>
      <c r="B20" s="10"/>
      <c r="C20" s="10"/>
      <c r="D20" s="10"/>
      <c r="E20" s="16" t="s">
        <v>18</v>
      </c>
      <c r="F20" s="7"/>
      <c r="G20" s="36" t="s">
        <v>23</v>
      </c>
      <c r="H20" s="8"/>
      <c r="I20" s="8"/>
      <c r="J20" s="10"/>
    </row>
    <row r="21" spans="1:10" x14ac:dyDescent="0.2">
      <c r="A21" s="25"/>
      <c r="B21" s="10"/>
      <c r="C21" s="10" t="s">
        <v>17</v>
      </c>
      <c r="D21" s="10"/>
      <c r="E21" s="8">
        <v>1090000</v>
      </c>
      <c r="F21" s="8"/>
      <c r="G21" s="26">
        <f>E21*549</f>
        <v>598410000</v>
      </c>
      <c r="H21" s="8"/>
      <c r="I21" s="19"/>
      <c r="J21" s="10"/>
    </row>
    <row r="22" spans="1:10" ht="12.75" customHeight="1" x14ac:dyDescent="0.2">
      <c r="A22" s="25"/>
      <c r="B22" s="10"/>
      <c r="C22" s="10"/>
      <c r="D22" s="10"/>
      <c r="E22" s="10"/>
      <c r="F22" s="8"/>
      <c r="G22" s="26"/>
      <c r="H22" s="8"/>
      <c r="I22" s="8"/>
      <c r="J22" s="10"/>
    </row>
    <row r="23" spans="1:10" ht="12.75" customHeight="1" x14ac:dyDescent="0.2">
      <c r="A23" s="25"/>
      <c r="B23" s="10"/>
      <c r="C23" s="10"/>
      <c r="D23" s="10"/>
      <c r="E23" s="10"/>
      <c r="F23" s="8"/>
      <c r="G23" s="26"/>
      <c r="H23" s="8"/>
      <c r="I23" s="8"/>
      <c r="J23" s="10"/>
    </row>
    <row r="24" spans="1:10" ht="24.75" customHeight="1" x14ac:dyDescent="0.2">
      <c r="A24" s="25"/>
      <c r="B24" s="10"/>
      <c r="C24" s="10"/>
      <c r="D24" s="10"/>
      <c r="E24" s="15" t="s">
        <v>18</v>
      </c>
      <c r="F24" s="7"/>
      <c r="G24" s="27" t="s">
        <v>22</v>
      </c>
      <c r="H24" s="8"/>
      <c r="I24" s="8"/>
      <c r="J24" s="10"/>
    </row>
    <row r="25" spans="1:10" ht="12.75" customHeight="1" x14ac:dyDescent="0.2">
      <c r="A25" s="25"/>
      <c r="B25" s="10"/>
      <c r="C25" s="10"/>
      <c r="D25" s="10"/>
      <c r="E25" s="10"/>
      <c r="F25" s="8"/>
      <c r="G25" s="26"/>
      <c r="H25" s="8"/>
      <c r="I25" s="8"/>
      <c r="J25" s="10"/>
    </row>
    <row r="26" spans="1:10" ht="12.75" customHeight="1" x14ac:dyDescent="0.2">
      <c r="A26" s="25"/>
      <c r="B26" s="10"/>
      <c r="C26" s="17" t="s">
        <v>15</v>
      </c>
      <c r="D26" s="28" t="s">
        <v>20</v>
      </c>
      <c r="E26" s="29">
        <f>E11</f>
        <v>20420.096539162114</v>
      </c>
      <c r="F26" s="8"/>
      <c r="G26" s="26">
        <f>G11</f>
        <v>11210633</v>
      </c>
      <c r="H26" s="8"/>
      <c r="I26" s="8"/>
      <c r="J26" s="10"/>
    </row>
    <row r="27" spans="1:10" x14ac:dyDescent="0.2">
      <c r="A27" s="25"/>
      <c r="B27" s="10"/>
      <c r="C27" s="10"/>
      <c r="D27" s="10"/>
      <c r="E27" s="10"/>
      <c r="F27" s="8"/>
      <c r="G27" s="26"/>
      <c r="H27" s="8"/>
      <c r="I27" s="8"/>
      <c r="J27" s="10"/>
    </row>
    <row r="28" spans="1:10" x14ac:dyDescent="0.2">
      <c r="A28" s="25"/>
      <c r="B28" s="10"/>
      <c r="C28" s="17" t="s">
        <v>24</v>
      </c>
      <c r="D28" s="10"/>
      <c r="E28" s="18">
        <f>E26/E21</f>
        <v>1.8734033522167078E-2</v>
      </c>
      <c r="F28" s="20"/>
      <c r="G28" s="37">
        <f>G26/G21</f>
        <v>1.8734033522167078E-2</v>
      </c>
      <c r="H28" s="8"/>
      <c r="I28" s="8"/>
      <c r="J28" s="10"/>
    </row>
    <row r="29" spans="1:10" x14ac:dyDescent="0.2">
      <c r="A29" s="38"/>
      <c r="B29" s="10"/>
      <c r="C29" s="10"/>
      <c r="D29" s="10"/>
      <c r="E29" s="8"/>
      <c r="F29" s="10"/>
      <c r="G29" s="26"/>
      <c r="H29" s="8"/>
      <c r="I29" s="8"/>
      <c r="J29" s="10"/>
    </row>
    <row r="30" spans="1:10" ht="13.5" thickBot="1" x14ac:dyDescent="0.25">
      <c r="A30" s="39"/>
      <c r="B30" s="32"/>
      <c r="C30" s="32" t="s">
        <v>21</v>
      </c>
      <c r="D30" s="32"/>
      <c r="E30" s="32"/>
      <c r="F30" s="32"/>
      <c r="G30" s="40"/>
    </row>
    <row r="32" spans="1:10" ht="13.5" thickBot="1" x14ac:dyDescent="0.25"/>
    <row r="33" spans="1:7" x14ac:dyDescent="0.2">
      <c r="A33" s="21" t="s">
        <v>14</v>
      </c>
      <c r="B33" s="22"/>
      <c r="C33" s="22"/>
      <c r="D33" s="22"/>
      <c r="E33" s="22"/>
      <c r="F33" s="22"/>
      <c r="G33" s="41"/>
    </row>
    <row r="34" spans="1:7" x14ac:dyDescent="0.2">
      <c r="A34" s="38"/>
      <c r="B34" s="10"/>
      <c r="C34" s="10"/>
      <c r="D34" s="10"/>
      <c r="E34" s="10"/>
      <c r="F34" s="10"/>
      <c r="G34" s="42"/>
    </row>
    <row r="35" spans="1:7" x14ac:dyDescent="0.2">
      <c r="A35" s="38"/>
      <c r="B35" s="10"/>
      <c r="C35" s="10"/>
      <c r="D35" s="10"/>
      <c r="E35" s="10"/>
      <c r="F35" s="10"/>
      <c r="G35" s="42"/>
    </row>
    <row r="36" spans="1:7" x14ac:dyDescent="0.2">
      <c r="A36" s="38"/>
      <c r="B36" s="10"/>
      <c r="C36" s="10"/>
      <c r="D36" s="10"/>
      <c r="E36" s="10"/>
      <c r="F36" s="10"/>
      <c r="G36" s="42"/>
    </row>
    <row r="37" spans="1:7" x14ac:dyDescent="0.2">
      <c r="A37" s="38"/>
      <c r="B37" s="10"/>
      <c r="C37" s="10"/>
      <c r="D37" s="10"/>
      <c r="E37" s="10"/>
      <c r="F37" s="10"/>
      <c r="G37" s="42"/>
    </row>
    <row r="38" spans="1:7" x14ac:dyDescent="0.2">
      <c r="A38" s="38"/>
      <c r="B38" s="10"/>
      <c r="C38" s="10" t="s">
        <v>25</v>
      </c>
      <c r="D38" s="10"/>
      <c r="E38" s="10"/>
      <c r="F38" s="10"/>
      <c r="G38" s="42"/>
    </row>
    <row r="39" spans="1:7" x14ac:dyDescent="0.2">
      <c r="A39" s="38"/>
      <c r="B39" s="10"/>
      <c r="C39" s="10"/>
      <c r="D39" s="10"/>
      <c r="E39" s="10"/>
      <c r="F39" s="10"/>
      <c r="G39" s="42"/>
    </row>
    <row r="40" spans="1:7" x14ac:dyDescent="0.2">
      <c r="A40" s="38"/>
      <c r="B40" s="10"/>
      <c r="C40" s="10"/>
      <c r="D40" s="10"/>
      <c r="E40" s="10"/>
      <c r="F40" s="10"/>
      <c r="G40" s="42"/>
    </row>
    <row r="41" spans="1:7" x14ac:dyDescent="0.2">
      <c r="A41" s="38"/>
      <c r="B41" s="10"/>
      <c r="C41" s="10"/>
      <c r="D41" s="10"/>
      <c r="E41" s="10"/>
      <c r="F41" s="10"/>
      <c r="G41" s="42"/>
    </row>
    <row r="42" spans="1:7" x14ac:dyDescent="0.2">
      <c r="A42" s="38"/>
      <c r="B42" s="10"/>
      <c r="C42" s="10"/>
      <c r="D42" s="10"/>
      <c r="E42" s="10"/>
      <c r="F42" s="10"/>
      <c r="G42" s="42"/>
    </row>
    <row r="43" spans="1:7" x14ac:dyDescent="0.2">
      <c r="A43" s="38"/>
      <c r="B43" s="10"/>
      <c r="C43" s="10"/>
      <c r="D43" s="10"/>
      <c r="E43" s="10"/>
      <c r="F43" s="10"/>
      <c r="G43" s="42"/>
    </row>
    <row r="44" spans="1:7" x14ac:dyDescent="0.2">
      <c r="A44" s="38"/>
      <c r="B44" s="10"/>
      <c r="C44" s="10"/>
      <c r="D44" s="10"/>
      <c r="E44" s="10"/>
      <c r="F44" s="10"/>
      <c r="G44" s="42"/>
    </row>
    <row r="45" spans="1:7" x14ac:dyDescent="0.2">
      <c r="A45" s="38"/>
      <c r="B45" s="10"/>
      <c r="C45" s="10"/>
      <c r="D45" s="10"/>
      <c r="E45" s="10"/>
      <c r="F45" s="10"/>
      <c r="G45" s="42"/>
    </row>
    <row r="46" spans="1:7" x14ac:dyDescent="0.2">
      <c r="A46" s="38"/>
      <c r="B46" s="10"/>
      <c r="C46" s="10"/>
      <c r="D46" s="10"/>
      <c r="E46" s="10"/>
      <c r="F46" s="10"/>
      <c r="G46" s="42"/>
    </row>
    <row r="47" spans="1:7" x14ac:dyDescent="0.2">
      <c r="A47" s="38"/>
      <c r="B47" s="10"/>
      <c r="C47" s="10"/>
      <c r="D47" s="10"/>
      <c r="E47" s="10"/>
      <c r="F47" s="10"/>
      <c r="G47" s="42"/>
    </row>
    <row r="48" spans="1:7" ht="13.5" thickBot="1" x14ac:dyDescent="0.25">
      <c r="A48" s="39"/>
      <c r="B48" s="32"/>
      <c r="C48" s="32"/>
      <c r="D48" s="32"/>
      <c r="E48" s="32"/>
      <c r="F48" s="32"/>
      <c r="G48" s="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comparisons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Jan Havlíček</cp:lastModifiedBy>
  <cp:lastPrinted>2001-11-16T23:42:36Z</cp:lastPrinted>
  <dcterms:created xsi:type="dcterms:W3CDTF">2001-11-15T20:17:15Z</dcterms:created>
  <dcterms:modified xsi:type="dcterms:W3CDTF">2023-09-12T04:37:22Z</dcterms:modified>
</cp:coreProperties>
</file>