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C45035-1168-4AF5-9AB3-96C6EFE460E2}" xr6:coauthVersionLast="47" xr6:coauthVersionMax="47" xr10:uidLastSave="{00000000-0000-0000-0000-000000000000}"/>
  <bookViews>
    <workbookView xWindow="-120" yWindow="-120" windowWidth="23280" windowHeight="1248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F31" i="9"/>
  <c r="H31" i="9"/>
  <c r="J31" i="9"/>
  <c r="K31" i="9"/>
  <c r="C33" i="9"/>
  <c r="D33" i="9"/>
  <c r="E33" i="9"/>
  <c r="F33" i="9"/>
  <c r="G33" i="9"/>
  <c r="H33" i="9"/>
  <c r="I33" i="9"/>
  <c r="J33" i="9"/>
  <c r="K33" i="9"/>
  <c r="B4" i="2"/>
  <c r="I10" i="2"/>
  <c r="L10" i="2"/>
  <c r="N10" i="2"/>
  <c r="D11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M28" i="2"/>
  <c r="N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N32" i="2"/>
  <c r="D34" i="2"/>
  <c r="E34" i="2"/>
  <c r="F34" i="2"/>
  <c r="G34" i="2"/>
  <c r="H34" i="2"/>
  <c r="I34" i="2"/>
  <c r="J34" i="2"/>
  <c r="K34" i="2"/>
  <c r="L34" i="2"/>
  <c r="M34" i="2"/>
  <c r="N34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E21" i="1"/>
  <c r="G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<sst xmlns="http://schemas.openxmlformats.org/spreadsheetml/2006/main" count="434" uniqueCount="138">
  <si>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</si>
  <si>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</si>
  <si>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</si>
  <si>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</si>
  <si>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</si>
  <si>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</si>
  <si>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</si>
  <si>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</si>
  <si>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</si>
  <si>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</si>
  <si>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</si>
  <si>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</si>
  <si>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</si>
  <si>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</si>
  <si>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</si>
  <si>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</si>
  <si>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</si>
  <si>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</si>
  <si>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</si>
  <si>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</si>
  <si>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</si>
  <si>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</si>
  <si>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</si>
  <si>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</si>
  <si>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</si>
  <si>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</si>
  <si>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</si>
  <si>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</si>
  <si>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</si>
  <si>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</si>
  <si>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</si>
  <si>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</si>
  <si>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</si>
  <si>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</si>
  <si>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</si>
  <si>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</si>
  <si>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</si>
  <si>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</si>
  <si>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</si>
  <si>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</si>
  <si>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</si>
  <si>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</si>
  <si>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</si>
  <si>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</si>
  <si>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</si>
  <si>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</si>
  <si>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</si>
  <si>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</si>
  <si>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</si>
  <si>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</si>
  <si>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</si>
  <si>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</si>
  <si>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</si>
  <si>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</si>
  <si>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</si>
  <si>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</si>
  <si>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</si>
  <si>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</si>
  <si>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</si>
  <si>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</si>
  <si>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</si>
  <si>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</si>
  <si>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</si>
  <si>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</si>
  <si>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</si>
  <si>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</si>
  <si>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</si>
  <si>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</si>
  <si>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</si>
  <si>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</si>
  <si>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</si>
  <si>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</si>
  <si>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</si>
  <si>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</si>
  <si>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</si>
  <si>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</si>
  <si>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</si>
  <si>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</si>
  <si>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</si>
  <si>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</si>
  <si>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</si>
  <si>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</si>
  <si>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</si>
  <si>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</si>
  <si>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</si>
  <si>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</si>
  <si>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</si>
  <si>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</si>
  <si>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</si>
  <si>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</si>
  <si>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</si>
  <si>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</si>
  <si>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</si>
  <si>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</si>
  <si>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</si>
  <si>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</si>
  <si>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</si>
  <si>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</si>
  <si>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</si>
  <si>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</si>
  <si>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</si>
  <si>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</si>
  <si>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</si>
  <si>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</si>
  <si>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</si>
  <si>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</si>
  <si>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</si>
  <si>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</si>
  <si>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</si>
  <si>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</si>
  <si>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</si>
  <si>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</si>
  <si>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</si>
  <si>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</si>
  <si>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</si>
  <si>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</si>
  <si>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</si>
  <si>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</si>
  <si>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</si>
  <si>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</si>
  <si>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</si>
  <si>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</si>
  <si>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</si>
  <si>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</si>
  <si>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</si>
  <si>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</si>
  <si>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</si>
  <si>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</si>
  <si>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</si>
  <si>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</si>
  <si>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</si>
  <si>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</si>
  <si>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</si>
  <si>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</si>
  <si>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</si>
  <si>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</si>
  <si>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</si>
  <si>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May 18,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</si>
</sst>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AA29E951-CB48-E9B8-A3F4-3C10533EA70B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605DE050-5F49-D477-4C81-177DF8098FDE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4B758DA6-28A0-BD47-8FD0-02E4E0763862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428B7541-CE07-8978-1E33-88CDFFEE9BB5}"/>
            </a:ext>
          </a:extLst>
        </xdr:cNvPr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4BB10C4D-38FE-1A5B-94CC-6D94E52F9780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43208DC7-1E9B-33DC-FFD6-5A30D40DEBBA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859F51B5-5158-736E-0FC2-F27AC1381F66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D118E2E3-F9E5-47EB-AB53-4C0882F4B5DD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13A31AA0-C32A-A21B-4077-92ABC228E16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>
          <a:extLst>
            <a:ext uri="{FF2B5EF4-FFF2-40B4-BE49-F238E27FC236}">
              <a16:creationId xmlns:a16="http://schemas.microsoft.com/office/drawing/2014/main" id="{62EE3663-DC92-40D9-3AF8-61F46448F0B1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>
          <a:extLst>
            <a:ext uri="{FF2B5EF4-FFF2-40B4-BE49-F238E27FC236}">
              <a16:creationId xmlns:a16="http://schemas.microsoft.com/office/drawing/2014/main" id="{0775E6F5-D73B-F2AD-4D07-D74C534B7A9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>
          <a:extLst>
            <a:ext uri="{FF2B5EF4-FFF2-40B4-BE49-F238E27FC236}">
              <a16:creationId xmlns:a16="http://schemas.microsoft.com/office/drawing/2014/main" id="{D88EEFB5-006C-94D8-46B5-367E73E0ED03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>
          <a:extLst>
            <a:ext uri="{FF2B5EF4-FFF2-40B4-BE49-F238E27FC236}">
              <a16:creationId xmlns:a16="http://schemas.microsoft.com/office/drawing/2014/main" id="{485E9BFB-58B6-59CC-4071-13DF012F53AB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>
          <a:extLst>
            <a:ext uri="{FF2B5EF4-FFF2-40B4-BE49-F238E27FC236}">
              <a16:creationId xmlns:a16="http://schemas.microsoft.com/office/drawing/2014/main" id="{0F9EBA99-A508-4CB8-5138-9541DCA0CA1E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01C8A3D5-7049-510C-BF30-CB5506913856}"/>
            </a:ext>
          </a:extLst>
        </xdr:cNvPr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501370C6-B24D-3B9D-1ABE-1D19EC3F494A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DDFA1C66-FD75-75CC-6E39-86FBF272D8F0}"/>
            </a:ext>
          </a:extLst>
        </xdr:cNvPr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26E07A75-A2E6-925E-521C-99F1E6831058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BED6021D-1B8A-F596-DDCD-5DADB83E7D7D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A760F943-2404-5655-ADEB-B2E026B3FD6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272DDC5E-B5DF-7BDE-4BC7-5990540D934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1CB9BA6B-E2F2-F08F-BB87-E28ECEE512E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7C267428-BEBC-ACDC-45A5-A0CB86C10678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9CD9841E-2C3A-DC78-C70C-B43CBEC6F96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FED3381A-14B6-68D6-AB9F-54D3FCC9393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0322D9C3-0F03-D9D2-D9AF-AC57C138DC7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EA01A049-EBEC-FAF0-3D4C-21FC76ED348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F25F153C-91E3-4FB2-3398-7117DF9FD807}"/>
            </a:ext>
          </a:extLst>
        </xdr:cNvPr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>
        <row r="9">
          <cell r="C9">
            <v>-58250</v>
          </cell>
          <cell r="G9">
            <v>17173.484</v>
          </cell>
        </row>
        <row r="10">
          <cell r="C10">
            <v>1031.90705</v>
          </cell>
          <cell r="G10">
            <v>9728.0159999999996</v>
          </cell>
        </row>
        <row r="11">
          <cell r="C11">
            <v>-1774</v>
          </cell>
          <cell r="G11">
            <v>0</v>
          </cell>
        </row>
        <row r="12">
          <cell r="C12">
            <v>0</v>
          </cell>
          <cell r="G12">
            <v>0</v>
          </cell>
        </row>
        <row r="13">
          <cell r="C13">
            <v>744</v>
          </cell>
          <cell r="G13">
            <v>3240.6319999999996</v>
          </cell>
        </row>
        <row r="14">
          <cell r="C14">
            <v>0</v>
          </cell>
          <cell r="G14">
            <v>3259.8140000000003</v>
          </cell>
        </row>
        <row r="15">
          <cell r="C15">
            <v>-6926</v>
          </cell>
          <cell r="G15">
            <v>6013.2449999999999</v>
          </cell>
        </row>
        <row r="16">
          <cell r="C16">
            <v>90.688720000000004</v>
          </cell>
          <cell r="G16">
            <v>4934.7109999999993</v>
          </cell>
        </row>
        <row r="17">
          <cell r="C17">
            <v>414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/>
      <sheetData sheetId="4">
        <row r="10">
          <cell r="D10">
            <v>-58250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873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-1774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744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-8361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2990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-1542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40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-53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59</v>
          </cell>
          <cell r="E23">
            <v>31.68872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5560.9960000000001</v>
          </cell>
          <cell r="E10">
            <v>5360.9960000000001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-8786.8389999999999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-8786.8389999999999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-41624.372499999998</v>
      </c>
      <c r="P9" s="37"/>
      <c r="Q9" s="132">
        <f>+'Mgmt Summary'!Q9+'[3]Mgmt Summary'!Q9</f>
        <v>-81286.839000000007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-80401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16940.761999999999</v>
      </c>
      <c r="E10" s="134">
        <f t="shared" si="0"/>
        <v>10559.238000000001</v>
      </c>
      <c r="F10" s="36"/>
      <c r="G10" s="132">
        <f>+'Mgmt Summary'!G10+'[3]Mgmt Summary'!G10</f>
        <v>16450.490379999999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16450.490379999999</v>
      </c>
      <c r="K10" s="136"/>
      <c r="L10" s="132"/>
      <c r="M10" s="139">
        <f>+'Mgmt Summary'!M10+'[3]Mgmt Summary'!M10</f>
        <v>9145.9789999999994</v>
      </c>
      <c r="N10" s="139">
        <f>+'Mgmt Summary'!N10+'[3]Mgmt Summary'!N10</f>
        <v>7343.9120000000003</v>
      </c>
      <c r="O10" s="135">
        <f t="shared" si="2"/>
        <v>-39.400620000000345</v>
      </c>
      <c r="P10" s="37"/>
      <c r="Q10" s="132">
        <f>+'Mgmt Summary'!Q10+'[3]Mgmt Summary'!Q10</f>
        <v>-11049.509620000001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-10598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3211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3211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3211</v>
      </c>
      <c r="P11" s="37"/>
      <c r="Q11" s="132">
        <f>+'Mgmt Summary'!Q11+'[3]Mgmt Summary'!Q11</f>
        <v>-1789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-1789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8949</v>
      </c>
      <c r="H13" s="36">
        <f>GrossMargin!J14</f>
        <v>0</v>
      </c>
      <c r="I13" s="137">
        <f>+'Mgmt Summary'!I13+'[3]Mgmt Summary'!I13</f>
        <v>0</v>
      </c>
      <c r="J13" s="135">
        <f t="shared" si="1"/>
        <v>8949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2822.4370000000004</v>
      </c>
      <c r="P13" s="37"/>
      <c r="Q13" s="132">
        <f>+'Mgmt Summary'!Q13+'[3]Mgmt Summary'!Q13</f>
        <v>-6639.07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-5477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2320.0152800000001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2320.0152800000001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-2273.81772</v>
      </c>
      <c r="P14" s="37"/>
      <c r="Q14" s="132">
        <f>+'Mgmt Summary'!Q14+'[3]Mgmt Summary'!Q14</f>
        <v>-14429.98472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-13148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3020.7569999999996</v>
      </c>
      <c r="H15" s="36">
        <f>GrossMargin!J16</f>
        <v>0</v>
      </c>
      <c r="I15" s="137">
        <f>+'Mgmt Summary'!I15+'[3]Mgmt Summary'!I15</f>
        <v>0</v>
      </c>
      <c r="J15" s="135">
        <f t="shared" si="1"/>
        <v>3020.7569999999996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-6810.05</v>
      </c>
      <c r="P15" s="37"/>
      <c r="Q15" s="132">
        <f>+'Mgmt Summary'!Q15+'[3]Mgmt Summary'!Q15</f>
        <v>-44479.243000000002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-42752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128.32532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128.32532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-6690.8136799999993</v>
      </c>
      <c r="P16" s="37"/>
      <c r="Q16" s="132">
        <f>+'Mgmt Summary'!Q16+'[3]Mgmt Summary'!Q16</f>
        <v>-1682.6746800000001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-2933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2093.991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2093.991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-5866.6610000000001</v>
      </c>
      <c r="P17" s="37"/>
      <c r="Q17" s="132">
        <f>+'Mgmt Summary'!Q17+'[3]Mgmt Summary'!Q17</f>
        <v>-5906.009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-8611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18959.875980000001</v>
      </c>
      <c r="H23" s="44">
        <f t="shared" si="4"/>
        <v>0</v>
      </c>
      <c r="I23" s="44">
        <f t="shared" si="4"/>
        <v>0</v>
      </c>
      <c r="J23" s="46">
        <f t="shared" si="4"/>
        <v>18959.875980000001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-74276.99152000001</v>
      </c>
      <c r="P23" s="37"/>
      <c r="Q23" s="43">
        <f t="shared" ref="Q23:V23" si="5">SUM(Q9:Q22)</f>
        <v>-182616.19202000002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-180669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18678.757980000002</v>
      </c>
      <c r="H30" s="44">
        <f t="shared" si="6"/>
        <v>0</v>
      </c>
      <c r="I30" s="44">
        <f t="shared" si="6"/>
        <v>0</v>
      </c>
      <c r="J30" s="46">
        <f t="shared" si="6"/>
        <v>18678.757980000002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-92966.490019999997</v>
      </c>
      <c r="P30" s="37"/>
      <c r="Q30" s="43">
        <f t="shared" ref="Q30:V30" si="7">SUM(Q23:Q29)</f>
        <v>-182397.31002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-187913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18678.757980000002</v>
      </c>
      <c r="H34" s="40">
        <f t="shared" si="8"/>
        <v>0</v>
      </c>
      <c r="I34" s="40">
        <f t="shared" si="8"/>
        <v>0</v>
      </c>
      <c r="J34" s="42">
        <f t="shared" si="8"/>
        <v>18678.757980000002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-102674.49002</v>
      </c>
      <c r="P34" s="37"/>
      <c r="Q34" s="39">
        <f t="shared" si="8"/>
        <v>-182397.31002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-190413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zoomScale="95" workbookViewId="0">
      <selection activeCell="H32" sqref="H3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May 18,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-70758</v>
      </c>
      <c r="D9" s="223">
        <f>+'Mgmt Summary'!C9</f>
        <v>32500</v>
      </c>
      <c r="E9" s="224">
        <f t="shared" ref="E9:E20" si="0">-D9+C9</f>
        <v>-103258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-87931.483999999997</v>
      </c>
      <c r="L9" s="223">
        <f t="shared" ref="K9:L20" si="2">D9-H9</f>
        <v>15526.516</v>
      </c>
      <c r="M9" s="224">
        <f t="shared" ref="M9:M20" si="3">K9-L9</f>
        <v>-103458</v>
      </c>
      <c r="N9" s="286"/>
      <c r="O9" s="222">
        <f>+C9-'[4]QTD Mgmt Summary'!C9</f>
        <v>-12508</v>
      </c>
      <c r="P9" s="223">
        <f>+'[4]QTD Mgmt Summary'!G9-G9</f>
        <v>0</v>
      </c>
      <c r="Q9" s="224">
        <f t="shared" ref="Q9:Q14" si="4">+O9+P9</f>
        <v>-12508</v>
      </c>
    </row>
    <row r="10" spans="1:22" s="32" customFormat="1" ht="13.5" customHeight="1">
      <c r="A10" s="220" t="s">
        <v>133</v>
      </c>
      <c r="B10" s="221"/>
      <c r="C10" s="222">
        <f>+'Mgmt Summary'!J10</f>
        <v>758.90705000000003</v>
      </c>
      <c r="D10" s="223">
        <f>+'Mgmt Summary'!C10</f>
        <v>16250</v>
      </c>
      <c r="E10" s="224">
        <f t="shared" si="0"/>
        <v>-15491.09295</v>
      </c>
      <c r="F10" s="225"/>
      <c r="G10" s="222">
        <f>+'Mgmt Summary'!M10+'Mgmt Summary'!N10</f>
        <v>9728.0159999999996</v>
      </c>
      <c r="H10" s="223">
        <f>+'Mgmt Summary'!D10</f>
        <v>9528.0159999999996</v>
      </c>
      <c r="I10" s="224">
        <f t="shared" si="1"/>
        <v>-200</v>
      </c>
      <c r="J10" s="225"/>
      <c r="K10" s="222">
        <f t="shared" si="2"/>
        <v>-8969.1089499999998</v>
      </c>
      <c r="L10" s="223">
        <f t="shared" si="2"/>
        <v>6721.9840000000004</v>
      </c>
      <c r="M10" s="224">
        <f t="shared" si="3"/>
        <v>-15691.09295</v>
      </c>
      <c r="N10" s="286"/>
      <c r="O10" s="222">
        <f>+C10-'[4]QTD Mgmt Summary'!C10</f>
        <v>-273</v>
      </c>
      <c r="P10" s="223">
        <f>+'[4]QTD Mgmt Summary'!G10-G10</f>
        <v>0</v>
      </c>
      <c r="Q10" s="224">
        <f t="shared" si="4"/>
        <v>-273</v>
      </c>
    </row>
    <row r="11" spans="1:22" s="32" customFormat="1" ht="13.5" customHeight="1">
      <c r="A11" s="220" t="s">
        <v>122</v>
      </c>
      <c r="B11" s="221"/>
      <c r="C11" s="222">
        <f>+'Mgmt Summary'!J11</f>
        <v>-1370</v>
      </c>
      <c r="D11" s="223">
        <f>+'Mgmt Summary'!C11</f>
        <v>2500</v>
      </c>
      <c r="E11" s="224">
        <f t="shared" si="0"/>
        <v>-3870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-1370</v>
      </c>
      <c r="L11" s="223">
        <f>D11-H11</f>
        <v>2500</v>
      </c>
      <c r="M11" s="224">
        <f t="shared" si="3"/>
        <v>-3870</v>
      </c>
      <c r="N11" s="286"/>
      <c r="O11" s="222">
        <f>+C11-'[4]QTD Mgmt Summary'!C11</f>
        <v>404</v>
      </c>
      <c r="P11" s="223">
        <f>+'[4]QTD Mgmt Summary'!G11-G11</f>
        <v>0</v>
      </c>
      <c r="Q11" s="224">
        <f t="shared" si="4"/>
        <v>404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224</v>
      </c>
      <c r="D13" s="223">
        <f>+'Mgmt Summary'!C13</f>
        <v>7078.8189999999995</v>
      </c>
      <c r="E13" s="224">
        <f t="shared" si="0"/>
        <v>-6854.8189999999995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-3016.6319999999996</v>
      </c>
      <c r="L13" s="223">
        <f t="shared" si="2"/>
        <v>3838.1869999999999</v>
      </c>
      <c r="M13" s="224">
        <f t="shared" si="3"/>
        <v>-6854.8189999999995</v>
      </c>
      <c r="N13" s="286"/>
      <c r="O13" s="222">
        <f>+C13-'[4]QTD Mgmt Summary'!C13</f>
        <v>-520</v>
      </c>
      <c r="P13" s="223">
        <f>+'[4]QTD Mgmt Summary'!G13-G13</f>
        <v>0</v>
      </c>
      <c r="Q13" s="224">
        <f t="shared" si="4"/>
        <v>-520</v>
      </c>
    </row>
    <row r="14" spans="1:22" s="32" customFormat="1" ht="13.5" customHeight="1">
      <c r="A14" s="220" t="s">
        <v>70</v>
      </c>
      <c r="B14" s="221"/>
      <c r="C14" s="222">
        <f>+'Mgmt Summary'!J14</f>
        <v>648</v>
      </c>
      <c r="D14" s="223">
        <f>+'Mgmt Summary'!C14</f>
        <v>11875</v>
      </c>
      <c r="E14" s="224">
        <f t="shared" si="0"/>
        <v>-11227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-2611.8140000000003</v>
      </c>
      <c r="L14" s="223">
        <f t="shared" si="2"/>
        <v>8615.1859999999997</v>
      </c>
      <c r="M14" s="224">
        <f t="shared" si="3"/>
        <v>-11227</v>
      </c>
      <c r="N14" s="286"/>
      <c r="O14" s="222">
        <f>+C14-'[4]QTD Mgmt Summary'!C14</f>
        <v>648</v>
      </c>
      <c r="P14" s="223">
        <f>+'[4]QTD Mgmt Summary'!G14-G14</f>
        <v>0</v>
      </c>
      <c r="Q14" s="224">
        <f t="shared" si="4"/>
        <v>648</v>
      </c>
    </row>
    <row r="15" spans="1:22" s="32" customFormat="1" ht="13.5" customHeight="1">
      <c r="A15" s="220" t="s">
        <v>49</v>
      </c>
      <c r="B15" s="221"/>
      <c r="C15" s="222">
        <f>+'Mgmt Summary'!J15</f>
        <v>-10261</v>
      </c>
      <c r="D15" s="223">
        <f>+'Mgmt Summary'!C15</f>
        <v>27500</v>
      </c>
      <c r="E15" s="224">
        <f t="shared" si="0"/>
        <v>-37761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-16274.244999999999</v>
      </c>
      <c r="L15" s="223">
        <f t="shared" si="2"/>
        <v>21486.755000000001</v>
      </c>
      <c r="M15" s="224">
        <f t="shared" si="3"/>
        <v>-37761</v>
      </c>
      <c r="N15" s="286"/>
      <c r="O15" s="222">
        <f>+C15-'[4]QTD Mgmt Summary'!C15</f>
        <v>-3335</v>
      </c>
      <c r="P15" s="223">
        <f>+'[4]QTD Mgmt Summary'!G15-G15</f>
        <v>0</v>
      </c>
      <c r="Q15" s="224">
        <f t="shared" ref="Q15:Q20" si="5">+O15+P15</f>
        <v>-3335</v>
      </c>
    </row>
    <row r="16" spans="1:22" s="32" customFormat="1" ht="13.5" customHeight="1">
      <c r="A16" s="220" t="s">
        <v>127</v>
      </c>
      <c r="B16" s="221"/>
      <c r="C16" s="222">
        <f>+'Mgmt Summary'!J16</f>
        <v>87.371319999999997</v>
      </c>
      <c r="D16" s="223">
        <f>+'Mgmt Summary'!C16</f>
        <v>1311</v>
      </c>
      <c r="E16" s="224">
        <f t="shared" si="0"/>
        <v>-1223.62868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-4847.3396799999991</v>
      </c>
      <c r="L16" s="223">
        <f t="shared" si="2"/>
        <v>-3623.7109999999993</v>
      </c>
      <c r="M16" s="224">
        <f t="shared" si="3"/>
        <v>-1223.6286799999998</v>
      </c>
      <c r="N16" s="286"/>
      <c r="O16" s="222">
        <f>+C16-'[4]QTD Mgmt Summary'!C16</f>
        <v>-3.3174000000000063</v>
      </c>
      <c r="P16" s="223">
        <f>+'[4]QTD Mgmt Summary'!G16-G16</f>
        <v>0</v>
      </c>
      <c r="Q16" s="224">
        <f t="shared" si="5"/>
        <v>-3.3174000000000063</v>
      </c>
    </row>
    <row r="17" spans="1:19" s="32" customFormat="1" ht="13.5" customHeight="1">
      <c r="A17" s="220" t="s">
        <v>87</v>
      </c>
      <c r="B17" s="221"/>
      <c r="C17" s="222">
        <f>+'Mgmt Summary'!J17</f>
        <v>414</v>
      </c>
      <c r="D17" s="223">
        <f>+'Mgmt Summary'!C17</f>
        <v>5000</v>
      </c>
      <c r="E17" s="224">
        <f t="shared" si="0"/>
        <v>-4586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-3708.0959999999995</v>
      </c>
      <c r="L17" s="223">
        <f t="shared" si="2"/>
        <v>2377.904</v>
      </c>
      <c r="M17" s="224">
        <f t="shared" si="3"/>
        <v>-6086</v>
      </c>
      <c r="N17" s="286"/>
      <c r="O17" s="222">
        <f>+C17-'[4]QTD Mgmt Summary'!C17</f>
        <v>0</v>
      </c>
      <c r="P17" s="223">
        <f>+'[4]QTD Mgmt Summary'!G17-G17</f>
        <v>0</v>
      </c>
      <c r="Q17" s="224">
        <f t="shared" si="5"/>
        <v>0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-81701.72163</v>
      </c>
      <c r="D23" s="232">
        <f>SUM(D9:D22)</f>
        <v>110000.42200000001</v>
      </c>
      <c r="E23" s="233">
        <f>SUM(E9:E22)</f>
        <v>-191702.14363000001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-133076.52162999997</v>
      </c>
      <c r="L23" s="232">
        <f>SUM(L9:L22)</f>
        <v>60775.621999999996</v>
      </c>
      <c r="M23" s="233">
        <f>SUM(M9:M22)</f>
        <v>-193852.14363000001</v>
      </c>
      <c r="N23" s="287"/>
      <c r="O23" s="231">
        <f>SUM(O9:O22)</f>
        <v>-15587.3174</v>
      </c>
      <c r="P23" s="232">
        <f>SUM(P9:P22)</f>
        <v>0</v>
      </c>
      <c r="Q23" s="233">
        <f>SUM(Q9:Q22)</f>
        <v>-15587.3174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-81701.72163</v>
      </c>
      <c r="D30" s="232">
        <f>SUM(D23:D28)</f>
        <v>110000.42200000001</v>
      </c>
      <c r="E30" s="233">
        <f>SUM(E23:E28)</f>
        <v>-191702.14363000001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-139282.15262999997</v>
      </c>
      <c r="L30" s="232">
        <f>SUM(L23:L28)</f>
        <v>54569.991000000009</v>
      </c>
      <c r="M30" s="233">
        <f>SUM(M23:M28)</f>
        <v>-193852.14363000001</v>
      </c>
      <c r="N30" s="287"/>
      <c r="O30" s="231">
        <f>SUM(O23:O28)</f>
        <v>-15587.3174</v>
      </c>
      <c r="P30" s="232">
        <f>SUM(P23:P28)</f>
        <v>0</v>
      </c>
      <c r="Q30" s="233">
        <f>SUM(Q23:Q28)</f>
        <v>-15587.3174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-81701.72163</v>
      </c>
      <c r="D34" s="237">
        <f>+D30-D32</f>
        <v>110000.42200000001</v>
      </c>
      <c r="E34" s="260">
        <f>+E30-E32</f>
        <v>-191702.14363000001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-148682.15262999997</v>
      </c>
      <c r="L34" s="237">
        <f>SUM(L30:L32)</f>
        <v>47669.991000000009</v>
      </c>
      <c r="M34" s="260">
        <f>SUM(M30:M32)</f>
        <v>-196352.14363000001</v>
      </c>
      <c r="N34" s="287"/>
      <c r="O34" s="236">
        <f>SUM(O30:O32)</f>
        <v>-15587.3174</v>
      </c>
      <c r="P34" s="237">
        <f>SUM(P30:P32)</f>
        <v>0</v>
      </c>
      <c r="Q34" s="260">
        <f>SUM(Q30:Q32)</f>
        <v>-15587.3174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-81701.72163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-81701.72163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H32" sqref="H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6.5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5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-70758</v>
      </c>
      <c r="H9" s="36">
        <f>GrossMargin!J10</f>
        <v>0</v>
      </c>
      <c r="I9" s="36">
        <f>GrossMargin!K10</f>
        <v>0</v>
      </c>
      <c r="J9" s="135">
        <f>SUM(G9:I9)</f>
        <v>-70758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-87931.484000000011</v>
      </c>
      <c r="P9" s="37"/>
      <c r="Q9" s="132">
        <f t="shared" ref="Q9:Q16" si="1">+J9-C9</f>
        <v>-103258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-103458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9528.0159999999996</v>
      </c>
      <c r="E10" s="134">
        <f t="shared" si="0"/>
        <v>6721.9840000000004</v>
      </c>
      <c r="F10" s="36"/>
      <c r="G10" s="132">
        <f>GrossMargin!I11</f>
        <v>758.90705000000003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758.90705000000003</v>
      </c>
      <c r="K10" s="136"/>
      <c r="L10" s="138">
        <f>'[2]Alloc Exp'!D11</f>
        <v>0</v>
      </c>
      <c r="M10" s="139">
        <f>+Expenses!D10</f>
        <v>5560.9960000000001</v>
      </c>
      <c r="N10" s="139">
        <f>+AllocExp!K11</f>
        <v>4167.0200000000004</v>
      </c>
      <c r="O10" s="135">
        <f t="shared" ref="O10:O20" si="4">J10-K10-M10-N10-L10</f>
        <v>-8969.1089500000016</v>
      </c>
      <c r="P10" s="37"/>
      <c r="Q10" s="132">
        <f t="shared" si="1"/>
        <v>-15491.09295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-15691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-1370</v>
      </c>
      <c r="H11" s="36">
        <f>GrossMargin!J12</f>
        <v>0</v>
      </c>
      <c r="I11" s="36">
        <f>GrossMargin!K12</f>
        <v>0</v>
      </c>
      <c r="J11" s="135">
        <f t="shared" si="3"/>
        <v>-1370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-1370</v>
      </c>
      <c r="P11" s="37"/>
      <c r="Q11" s="132">
        <f>+J11-C11</f>
        <v>-3870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-3870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224</v>
      </c>
      <c r="H13" s="36">
        <f>GrossMargin!J14</f>
        <v>0</v>
      </c>
      <c r="I13" s="36">
        <f>GrossMargin!K14</f>
        <v>0</v>
      </c>
      <c r="J13" s="135">
        <f t="shared" si="3"/>
        <v>224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-3016.6319999999996</v>
      </c>
      <c r="P13" s="37"/>
      <c r="Q13" s="132">
        <f t="shared" si="1"/>
        <v>-6854.8189999999995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-6855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648</v>
      </c>
      <c r="H14" s="36">
        <f>GrossMargin!J15</f>
        <v>0</v>
      </c>
      <c r="I14" s="36">
        <f>GrossMargin!K15</f>
        <v>0</v>
      </c>
      <c r="J14" s="135">
        <f t="shared" si="3"/>
        <v>648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-2611.8140000000003</v>
      </c>
      <c r="P14" s="37"/>
      <c r="Q14" s="132">
        <f t="shared" si="1"/>
        <v>-11227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-11227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-10261</v>
      </c>
      <c r="H15" s="36">
        <f>GrossMargin!J16</f>
        <v>0</v>
      </c>
      <c r="I15" s="36">
        <f>GrossMargin!K16</f>
        <v>0</v>
      </c>
      <c r="J15" s="135">
        <f t="shared" si="3"/>
        <v>-10261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-16274.244999999999</v>
      </c>
      <c r="P15" s="178"/>
      <c r="Q15" s="138">
        <f t="shared" si="1"/>
        <v>-37761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-37761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87.371319999999997</v>
      </c>
      <c r="H16" s="36">
        <f>GrossMargin!J17</f>
        <v>0</v>
      </c>
      <c r="I16" s="36">
        <f>GrossMargin!K17</f>
        <v>0</v>
      </c>
      <c r="J16" s="135">
        <f t="shared" si="3"/>
        <v>87.371319999999997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-4847.3396799999991</v>
      </c>
      <c r="P16" s="178"/>
      <c r="Q16" s="138">
        <f t="shared" si="1"/>
        <v>-1223.62868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-1224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414</v>
      </c>
      <c r="H17" s="36">
        <f>GrossMargin!J18</f>
        <v>0</v>
      </c>
      <c r="I17" s="36">
        <f>GrossMargin!K18</f>
        <v>0</v>
      </c>
      <c r="J17" s="135">
        <f t="shared" si="3"/>
        <v>414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-3708.096</v>
      </c>
      <c r="P17" s="178"/>
      <c r="Q17" s="138">
        <f>+J17-C17</f>
        <v>-4586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-6086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-81701.72163</v>
      </c>
      <c r="H23" s="44">
        <f t="shared" si="5"/>
        <v>0</v>
      </c>
      <c r="I23" s="44">
        <f t="shared" si="5"/>
        <v>0</v>
      </c>
      <c r="J23" s="46">
        <f t="shared" si="5"/>
        <v>-81701.72163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-133076.52163</v>
      </c>
      <c r="P23" s="37"/>
      <c r="Q23" s="43">
        <f t="shared" ref="Q23:V23" si="6">SUM(Q9:Q22)</f>
        <v>-191702.14363000001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-193852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-81701.72163</v>
      </c>
      <c r="H30" s="44">
        <f t="shared" si="7"/>
        <v>0</v>
      </c>
      <c r="I30" s="44">
        <f t="shared" si="7"/>
        <v>0</v>
      </c>
      <c r="J30" s="46">
        <f t="shared" si="7"/>
        <v>-81701.72163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-139282.15263</v>
      </c>
      <c r="P30" s="37"/>
      <c r="Q30" s="43">
        <f t="shared" ref="Q30:V30" si="8">SUM(Q23:Q29)</f>
        <v>-191702.14363000001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-193852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-81701.72163</v>
      </c>
      <c r="H34" s="40">
        <f t="shared" si="9"/>
        <v>0</v>
      </c>
      <c r="I34" s="40">
        <f t="shared" si="9"/>
        <v>0</v>
      </c>
      <c r="J34" s="42">
        <f t="shared" si="9"/>
        <v>-81701.72163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-148682.15263</v>
      </c>
      <c r="P34" s="37"/>
      <c r="Q34" s="39">
        <f t="shared" si="9"/>
        <v>-191702.14363000001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-196352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C40" sqref="C40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May 18,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-12508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-12508</v>
      </c>
      <c r="I9" s="132">
        <v>0</v>
      </c>
      <c r="J9" s="36">
        <f>+GrossMargin!K10-[4]GrossMargin!K10</f>
        <v>0</v>
      </c>
      <c r="K9" s="134">
        <f t="shared" ref="K9:K20" si="1">SUM(H9:J9)</f>
        <v>-12508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-273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-273</v>
      </c>
      <c r="I10" s="132">
        <v>0</v>
      </c>
      <c r="J10" s="36">
        <f>+GrossMargin!K11-[4]GrossMargin!K11</f>
        <v>0</v>
      </c>
      <c r="K10" s="134">
        <f t="shared" si="1"/>
        <v>-273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404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404</v>
      </c>
      <c r="I11" s="132">
        <v>0</v>
      </c>
      <c r="J11" s="36">
        <f>+GrossMargin!K12-[4]GrossMargin!K12</f>
        <v>0</v>
      </c>
      <c r="K11" s="134">
        <f t="shared" si="1"/>
        <v>404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-520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-520</v>
      </c>
      <c r="I13" s="132">
        <v>0</v>
      </c>
      <c r="J13" s="36">
        <f>+GrossMargin!K14-[4]GrossMargin!K14</f>
        <v>0</v>
      </c>
      <c r="K13" s="134">
        <f t="shared" si="1"/>
        <v>-520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648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648</v>
      </c>
      <c r="I14" s="132">
        <v>0</v>
      </c>
      <c r="J14" s="36">
        <f>+GrossMargin!K15-[4]GrossMargin!K15</f>
        <v>0</v>
      </c>
      <c r="K14" s="134">
        <f t="shared" si="1"/>
        <v>648</v>
      </c>
    </row>
    <row r="15" spans="1:11" ht="13.5" hidden="1" customHeight="1">
      <c r="A15" s="304" t="s">
        <v>79</v>
      </c>
      <c r="B15" s="245"/>
      <c r="C15" s="240">
        <f>+GrossMargin!D16-[4]GrossMargin!D16</f>
        <v>-5697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-5697</v>
      </c>
      <c r="I15" s="290">
        <v>0</v>
      </c>
      <c r="J15" s="242">
        <f>+GrossMargin!K16-[4]GrossMargin!K16</f>
        <v>0</v>
      </c>
      <c r="K15" s="291">
        <f t="shared" si="1"/>
        <v>-5697</v>
      </c>
    </row>
    <row r="16" spans="1:11" ht="13.5" hidden="1" customHeight="1">
      <c r="A16" s="304" t="s">
        <v>109</v>
      </c>
      <c r="B16" s="245"/>
      <c r="C16" s="240">
        <f>+GrossMargin!D17-[4]GrossMargin!D17</f>
        <v>1015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1015</v>
      </c>
      <c r="I16" s="290">
        <v>0</v>
      </c>
      <c r="J16" s="242">
        <f>+GrossMargin!K17-[4]GrossMargin!K17</f>
        <v>0</v>
      </c>
      <c r="K16" s="291">
        <f t="shared" si="1"/>
        <v>1015</v>
      </c>
    </row>
    <row r="17" spans="1:11" ht="13.5" hidden="1" customHeight="1">
      <c r="A17" s="304" t="s">
        <v>82</v>
      </c>
      <c r="B17" s="245"/>
      <c r="C17" s="240">
        <f>+GrossMargin!D18-[4]GrossMargin!D18</f>
        <v>1206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1206</v>
      </c>
      <c r="I17" s="290">
        <v>0</v>
      </c>
      <c r="J17" s="242">
        <f>+GrossMargin!K18-[4]GrossMargin!K18</f>
        <v>0</v>
      </c>
      <c r="K17" s="291">
        <f t="shared" si="1"/>
        <v>1206</v>
      </c>
    </row>
    <row r="18" spans="1:11" ht="13.5" hidden="1" customHeight="1">
      <c r="A18" s="304" t="s">
        <v>80</v>
      </c>
      <c r="B18" s="245"/>
      <c r="C18" s="240">
        <f>+GrossMargin!D19-[4]GrossMargin!D19</f>
        <v>121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121</v>
      </c>
      <c r="I18" s="290">
        <v>0</v>
      </c>
      <c r="J18" s="242">
        <f>+GrossMargin!K19-[4]GrossMargin!K19</f>
        <v>0</v>
      </c>
      <c r="K18" s="291">
        <f t="shared" si="1"/>
        <v>121</v>
      </c>
    </row>
    <row r="19" spans="1:11" ht="13.5" hidden="1" customHeight="1">
      <c r="A19" s="304" t="s">
        <v>81</v>
      </c>
      <c r="B19" s="245"/>
      <c r="C19" s="240">
        <f>+GrossMargin!D20-[4]GrossMargin!D20</f>
        <v>20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20</v>
      </c>
      <c r="I19" s="290">
        <v>0</v>
      </c>
      <c r="J19" s="242">
        <f>+GrossMargin!K20-[4]GrossMargin!K20</f>
        <v>0</v>
      </c>
      <c r="K19" s="291">
        <f t="shared" si="1"/>
        <v>20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-3335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-3335</v>
      </c>
      <c r="I21" s="132">
        <f t="shared" si="2"/>
        <v>0</v>
      </c>
      <c r="J21" s="36">
        <f t="shared" si="2"/>
        <v>0</v>
      </c>
      <c r="K21" s="134">
        <f t="shared" si="2"/>
        <v>-3335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8</v>
      </c>
      <c r="D22" s="36">
        <f>+GrossMargin!E23-[4]GrossMargin!E23</f>
        <v>-11.317399999999999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-3.3173999999999992</v>
      </c>
      <c r="I22" s="132">
        <v>0</v>
      </c>
      <c r="J22" s="36">
        <f>+GrossMargin!K23-[4]GrossMargin!K23</f>
        <v>0</v>
      </c>
      <c r="K22" s="134">
        <f t="shared" ref="K22:K27" si="4">SUM(H22:J22)</f>
        <v>-3.3173999999999992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0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0</v>
      </c>
      <c r="I23" s="132">
        <v>0</v>
      </c>
      <c r="J23" s="36">
        <f>+GrossMargin!K24-[4]GrossMargin!K24</f>
        <v>0</v>
      </c>
      <c r="K23" s="134">
        <f t="shared" si="4"/>
        <v>0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-15576</v>
      </c>
      <c r="D29" s="44">
        <f>SUM(D9:D14)+SUM(D21:D27)</f>
        <v>-11.317399999999999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-15587.3174</v>
      </c>
      <c r="I29" s="44" t="e">
        <f>+#REF!+#REF!</f>
        <v>#REF!</v>
      </c>
      <c r="J29" s="44">
        <f>SUM(J9:J14)+SUM(J21:J27)</f>
        <v>0</v>
      </c>
      <c r="K29" s="45">
        <f>SUM(K9:K14)+SUM(K21:K27)</f>
        <v>-15587.3174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-15576</v>
      </c>
      <c r="D33" s="40">
        <f>SUM(D9:D14)+SUM(D21:D27)</f>
        <v>-11.317399999999999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-15587.3174</v>
      </c>
      <c r="I33" s="40" t="e">
        <f>SUM(I29:I31)</f>
        <v>#REF!</v>
      </c>
      <c r="J33" s="40">
        <f>SUM(J9:J14)+SUM(J21:J27)</f>
        <v>0</v>
      </c>
      <c r="K33" s="41">
        <f>SUM(K9:K14)+SUM(K21:K27)</f>
        <v>-15587.3174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5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75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E42" sqref="E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May 18,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-70758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-70758</v>
      </c>
      <c r="J10" s="136"/>
      <c r="K10" s="36">
        <v>0</v>
      </c>
      <c r="L10" s="36">
        <f>+I10+K10</f>
        <v>-70758</v>
      </c>
      <c r="M10" s="249">
        <v>32500</v>
      </c>
      <c r="N10" s="134">
        <f t="shared" ref="N10:N23" si="1">L10-M10</f>
        <v>-103258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f>-770-D12</f>
        <v>600</v>
      </c>
      <c r="E11" s="139">
        <v>232.47763</v>
      </c>
      <c r="F11" s="139">
        <v>0</v>
      </c>
      <c r="G11" s="139">
        <v>-73.570580000000007</v>
      </c>
      <c r="H11" s="137">
        <v>0</v>
      </c>
      <c r="I11" s="135">
        <f t="shared" si="0"/>
        <v>758.90705000000003</v>
      </c>
      <c r="J11" s="136"/>
      <c r="K11" s="36">
        <v>0</v>
      </c>
      <c r="L11" s="36">
        <f t="shared" ref="L11:L23" si="2">+I11+K11</f>
        <v>758.90705000000003</v>
      </c>
      <c r="M11" s="249">
        <f>13750-M12+1875+3125</f>
        <v>16250</v>
      </c>
      <c r="N11" s="134">
        <f t="shared" si="1"/>
        <v>-15491.09295</v>
      </c>
    </row>
    <row r="12" spans="1:16" s="187" customFormat="1" ht="13.5" customHeight="1">
      <c r="A12" s="12"/>
      <c r="B12" s="106" t="s">
        <v>122</v>
      </c>
      <c r="C12" s="186"/>
      <c r="D12" s="138">
        <v>-1370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-1370</v>
      </c>
      <c r="J12" s="136"/>
      <c r="K12" s="36">
        <v>0</v>
      </c>
      <c r="L12" s="36">
        <f>+I12+K12</f>
        <v>-1370</v>
      </c>
      <c r="M12" s="249">
        <v>2500</v>
      </c>
      <c r="N12" s="134">
        <f>L12-M12</f>
        <v>-3870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224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224</v>
      </c>
      <c r="J14" s="136"/>
      <c r="K14" s="36">
        <v>0</v>
      </c>
      <c r="L14" s="36">
        <f t="shared" si="2"/>
        <v>224</v>
      </c>
      <c r="M14" s="249">
        <f>8578.819-1500</f>
        <v>7078.8189999999995</v>
      </c>
      <c r="N14" s="134">
        <f t="shared" si="1"/>
        <v>-6854.8189999999995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648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648</v>
      </c>
      <c r="J15" s="136"/>
      <c r="K15" s="36">
        <v>0</v>
      </c>
      <c r="L15" s="36">
        <f t="shared" si="2"/>
        <v>648</v>
      </c>
      <c r="M15" s="249">
        <v>11875</v>
      </c>
      <c r="N15" s="134">
        <f t="shared" si="1"/>
        <v>-11227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-14058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-14058</v>
      </c>
      <c r="J16" s="242"/>
      <c r="K16" s="242">
        <v>0</v>
      </c>
      <c r="L16" s="36">
        <f t="shared" si="2"/>
        <v>-14058</v>
      </c>
      <c r="M16" s="251">
        <v>0</v>
      </c>
      <c r="N16" s="243">
        <f>L16-M16</f>
        <v>-14058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4005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4005</v>
      </c>
      <c r="J17" s="242"/>
      <c r="K17" s="242">
        <v>0</v>
      </c>
      <c r="L17" s="36">
        <f>+I17+K17</f>
        <v>4005</v>
      </c>
      <c r="M17" s="251">
        <v>0</v>
      </c>
      <c r="N17" s="243">
        <f>L17-M17</f>
        <v>4005</v>
      </c>
    </row>
    <row r="18" spans="1:16" ht="13.5" hidden="1" customHeight="1">
      <c r="B18" s="304" t="s">
        <v>82</v>
      </c>
      <c r="C18" s="239"/>
      <c r="D18" s="240">
        <v>-336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-336</v>
      </c>
      <c r="J18" s="242"/>
      <c r="K18" s="242">
        <v>0</v>
      </c>
      <c r="L18" s="36">
        <f t="shared" si="2"/>
        <v>-336</v>
      </c>
      <c r="M18" s="251">
        <v>0</v>
      </c>
      <c r="N18" s="243">
        <f>L18-M18</f>
        <v>-336</v>
      </c>
      <c r="P18" s="165"/>
    </row>
    <row r="19" spans="1:16" ht="13.5" hidden="1" customHeight="1">
      <c r="B19" s="304" t="s">
        <v>80</v>
      </c>
      <c r="C19" s="239"/>
      <c r="D19" s="240">
        <v>161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161</v>
      </c>
      <c r="J19" s="242"/>
      <c r="K19" s="242">
        <v>0</v>
      </c>
      <c r="L19" s="36">
        <f t="shared" si="2"/>
        <v>161</v>
      </c>
      <c r="M19" s="251">
        <v>0</v>
      </c>
      <c r="N19" s="243">
        <f t="shared" si="1"/>
        <v>161</v>
      </c>
      <c r="O19" s="165"/>
    </row>
    <row r="20" spans="1:16" ht="13.5" hidden="1" customHeight="1">
      <c r="B20" s="304" t="s">
        <v>81</v>
      </c>
      <c r="C20" s="239"/>
      <c r="D20" s="240">
        <v>-33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-33</v>
      </c>
      <c r="J20" s="242"/>
      <c r="K20" s="242">
        <v>0</v>
      </c>
      <c r="L20" s="36">
        <f t="shared" si="2"/>
        <v>-33</v>
      </c>
      <c r="M20" s="251">
        <v>0</v>
      </c>
      <c r="N20" s="243">
        <f t="shared" si="1"/>
        <v>-33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-10261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-10261</v>
      </c>
      <c r="J22" s="136"/>
      <c r="K22" s="36">
        <f>SUM(K16:K21)</f>
        <v>0</v>
      </c>
      <c r="L22" s="36">
        <f t="shared" si="2"/>
        <v>-10261</v>
      </c>
      <c r="M22" s="249">
        <v>27500</v>
      </c>
      <c r="N22" s="134">
        <f>L22-M22</f>
        <v>-37761</v>
      </c>
    </row>
    <row r="23" spans="1:16" s="187" customFormat="1" ht="13.5" customHeight="1">
      <c r="A23" s="12"/>
      <c r="B23" s="166" t="s">
        <v>127</v>
      </c>
      <c r="C23" s="186"/>
      <c r="D23" s="138">
        <v>67</v>
      </c>
      <c r="E23" s="139">
        <v>20.371320000000001</v>
      </c>
      <c r="F23" s="139">
        <v>0</v>
      </c>
      <c r="G23" s="139">
        <v>0</v>
      </c>
      <c r="H23" s="137">
        <v>0</v>
      </c>
      <c r="I23" s="135">
        <f t="shared" ref="I23:I28" si="4">SUM(D23:H23)</f>
        <v>87.371319999999997</v>
      </c>
      <c r="J23" s="136"/>
      <c r="K23" s="36">
        <v>0</v>
      </c>
      <c r="L23" s="36">
        <f t="shared" si="2"/>
        <v>87.371319999999997</v>
      </c>
      <c r="M23" s="137">
        <f>1000+311</f>
        <v>1311</v>
      </c>
      <c r="N23" s="134">
        <f t="shared" si="1"/>
        <v>-1223.62868</v>
      </c>
    </row>
    <row r="24" spans="1:16" s="187" customFormat="1" ht="13.5" customHeight="1">
      <c r="A24" s="12"/>
      <c r="B24" s="106" t="s">
        <v>87</v>
      </c>
      <c r="C24" s="186"/>
      <c r="D24" s="138">
        <v>376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414</v>
      </c>
      <c r="J24" s="136"/>
      <c r="K24" s="36">
        <v>0</v>
      </c>
      <c r="L24" s="36">
        <f>+I24+K24</f>
        <v>414</v>
      </c>
      <c r="M24" s="249">
        <v>5000</v>
      </c>
      <c r="N24" s="134">
        <f>L24-M24</f>
        <v>-4586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-80474</v>
      </c>
      <c r="E30" s="44">
        <f t="shared" si="5"/>
        <v>252.84895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-81701.72163</v>
      </c>
      <c r="J30" s="44">
        <f t="shared" si="5"/>
        <v>0</v>
      </c>
      <c r="K30" s="44">
        <f t="shared" si="5"/>
        <v>0</v>
      </c>
      <c r="L30" s="44">
        <f t="shared" si="5"/>
        <v>-81701.72163</v>
      </c>
      <c r="M30" s="44">
        <f t="shared" si="5"/>
        <v>110000.42199999999</v>
      </c>
      <c r="N30" s="46">
        <f t="shared" si="5"/>
        <v>-191702.14363000001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-80474</v>
      </c>
      <c r="E34" s="40">
        <f t="shared" ref="E34:N34" si="6">SUM(E10:E15)+SUM(E22:E28)</f>
        <v>252.84895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-81701.72163</v>
      </c>
      <c r="J34" s="40">
        <f t="shared" si="6"/>
        <v>0</v>
      </c>
      <c r="K34" s="40">
        <f t="shared" si="6"/>
        <v>0</v>
      </c>
      <c r="L34" s="40">
        <f t="shared" si="6"/>
        <v>-81701.72163</v>
      </c>
      <c r="M34" s="40">
        <f t="shared" si="6"/>
        <v>110000.42199999999</v>
      </c>
      <c r="N34" s="42">
        <f t="shared" si="6"/>
        <v>-191702.14363000001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32" sqref="H3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5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May 18,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5560.9960000000001</v>
      </c>
      <c r="E10" s="172">
        <f>4077.215+237.191+1046.59</f>
        <v>5360.9960000000001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L36" sqref="L3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5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May 18,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32" sqref="H3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5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May 18,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4167.0200000000004</v>
      </c>
      <c r="L11" s="172">
        <f>3365.73+801.29</f>
        <v>4167.0200000000004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5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2001-05-21T12:46:55Z</cp:lastPrinted>
  <dcterms:created xsi:type="dcterms:W3CDTF">1999-10-18T12:36:30Z</dcterms:created>
  <dcterms:modified xsi:type="dcterms:W3CDTF">2023-09-13T09:58:23Z</dcterms:modified>
</cp:coreProperties>
</file>