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ED505A1E-DE2E-4E34-B245-82EF6065A53E}" xr6:coauthVersionLast="47" xr6:coauthVersionMax="47" xr10:uidLastSave="{00000000-0000-0000-0000-000000000000}"/>
  <bookViews>
    <workbookView xWindow="-120" yWindow="-120" windowWidth="23280" windowHeight="12480" tabRatio="936" firstSheet="8" activeTab="17"/>
  </bookViews>
  <sheets>
    <sheet name="Cover" sheetId="18" r:id="rId1"/>
    <sheet name="S &amp; U" sheetId="5" r:id="rId2"/>
    <sheet name="adj AVP - Trading" sheetId="54" r:id="rId3"/>
    <sheet name="Asset Valuation" sheetId="33" r:id="rId4"/>
    <sheet name="adj AVP - Cons" sheetId="53" r:id="rId5"/>
    <sheet name="Due Diligence" sheetId="26" r:id="rId6"/>
    <sheet name="Fin Exhibits" sheetId="38" r:id="rId7"/>
    <sheet name="Income Statement" sheetId="2" r:id="rId8"/>
    <sheet name="Balance Sheet" sheetId="1" r:id="rId9"/>
    <sheet name="Cash Flow " sheetId="3" r:id="rId10"/>
    <sheet name="Profit &amp; Loss (2)" sheetId="55" r:id="rId11"/>
    <sheet name="Sea-3 NH " sheetId="27" r:id="rId12"/>
    <sheet name="Dep NH" sheetId="58" r:id="rId13"/>
    <sheet name="Sea-3 Tampa" sheetId="44" r:id="rId14"/>
    <sheet name="Dep FL" sheetId="60" r:id="rId15"/>
    <sheet name="Rail Ops" sheetId="47" r:id="rId16"/>
    <sheet name="Dep Rail" sheetId="59" r:id="rId17"/>
    <sheet name="Valuation - DCF" sheetId="24" r:id="rId18"/>
    <sheet name="Dep TA" sheetId="57" r:id="rId19"/>
    <sheet name="Assumptions" sheetId="39" r:id="rId20"/>
    <sheet name="Comparables" sheetId="31" r:id="rId21"/>
    <sheet name="STOP      PRINTING     HERE    " sheetId="36" r:id="rId22"/>
    <sheet name="Dep" sheetId="16" r:id="rId23"/>
    <sheet name="Misc Calcs" sheetId="15" r:id="rId24"/>
    <sheet name="Goodwill" sheetId="20" r:id="rId25"/>
    <sheet name="LOG" sheetId="45" state="hidden" r:id="rId26"/>
    <sheet name="Profit &amp; Loss" sheetId="42" state="hidden" r:id="rId27"/>
    <sheet name="Tax " sheetId="19" state="hidden" r:id="rId28"/>
    <sheet name="tim1" sheetId="49" state="hidden" r:id="rId29"/>
    <sheet name="Summaries" sheetId="35" state="hidden" r:id="rId30"/>
    <sheet name="T. Tons" sheetId="10" r:id="rId31"/>
    <sheet name="T. Profits" sheetId="11" r:id="rId32"/>
    <sheet name="T. Margins" sheetId="12" r:id="rId33"/>
    <sheet name="T. Profitability" sheetId="14" r:id="rId34"/>
    <sheet name="Bonuses" sheetId="46" state="hidden" r:id="rId35"/>
    <sheet name="Sov Risk" sheetId="17" state="hidden" r:id="rId36"/>
    <sheet name="Value" sheetId="4" state="hidden" r:id="rId37"/>
    <sheet name="Segments" sheetId="13" state="hidden" r:id="rId38"/>
    <sheet name="INV" sheetId="50" r:id="rId39"/>
    <sheet name="AR" sheetId="51" r:id="rId40"/>
    <sheet name="AP" sheetId="52" r:id="rId41"/>
    <sheet name="AVP - Consolidated" sheetId="32" state="hidden" r:id="rId42"/>
    <sheet name="AVP - Trading" sheetId="21" state="hidden" r:id="rId43"/>
    <sheet name="AVP -PP&amp;E" sheetId="48" state="hidden" r:id="rId44"/>
    <sheet name="Valuations Summary" sheetId="43" state="hidden" r:id="rId45"/>
    <sheet name="Financial Summary" sheetId="22" state="hidden" r:id="rId46"/>
    <sheet name="Timeline" sheetId="34" state="hidden" r:id="rId47"/>
  </sheets>
  <definedNames>
    <definedName name="_xlnm.Print_Area" localSheetId="4">'adj AVP - Cons'!$A$1:$M$38</definedName>
    <definedName name="_xlnm.Print_Area" localSheetId="2">'adj AVP - Trading'!$A$1:$M$24</definedName>
    <definedName name="_xlnm.Print_Area" localSheetId="40">AP!$A$1:$P$33</definedName>
    <definedName name="_xlnm.Print_Area" localSheetId="39">AR!$A$1:$P$32</definedName>
    <definedName name="_xlnm.Print_Area" localSheetId="3">'Asset Valuation'!$A$1:$K$28</definedName>
    <definedName name="_xlnm.Print_Area" localSheetId="19">Assumptions!$A$1:$N$29</definedName>
    <definedName name="_xlnm.Print_Area" localSheetId="41">'AVP - Consolidated'!$A$1:$M$35</definedName>
    <definedName name="_xlnm.Print_Area" localSheetId="42">'AVP - Trading'!$A$1:$M$25</definedName>
    <definedName name="_xlnm.Print_Area" localSheetId="43">'AVP -PP&amp;E'!$A$1:$M$20</definedName>
    <definedName name="_xlnm.Print_Area" localSheetId="34">Bonuses!$A$1:$T$37</definedName>
    <definedName name="_xlnm.Print_Area" localSheetId="20">Comparables!$A$1:$V$72</definedName>
    <definedName name="_xlnm.Print_Area" localSheetId="22">Dep!$A$23:$T$123</definedName>
    <definedName name="_xlnm.Print_Area" localSheetId="14">'Dep FL'!$A$1:$O$26</definedName>
    <definedName name="_xlnm.Print_Area" localSheetId="12">'Dep NH'!$A$1:$O$25</definedName>
    <definedName name="_xlnm.Print_Area" localSheetId="16">'Dep Rail'!$A$1:$O$26</definedName>
    <definedName name="_xlnm.Print_Area" localSheetId="18">'Dep TA'!$A$1:$O$39</definedName>
    <definedName name="_xlnm.Print_Area" localSheetId="5">'Due Diligence'!$A$1:$O$33</definedName>
    <definedName name="_xlnm.Print_Area" localSheetId="7">'Income Statement'!$A$1:$M$41</definedName>
    <definedName name="_xlnm.Print_Area" localSheetId="38">INV!$A$1:$P$33</definedName>
    <definedName name="_xlnm.Print_Area" localSheetId="25">LOG!$B$19:$J$43</definedName>
    <definedName name="_xlnm.Print_Area" localSheetId="23">'Misc Calcs'!$A$24:$N$99</definedName>
    <definedName name="_xlnm.Print_Area" localSheetId="26">'Profit &amp; Loss'!$1:$1048576</definedName>
    <definedName name="_xlnm.Print_Area" localSheetId="10">'Profit &amp; Loss (2)'!$1:$1048576</definedName>
    <definedName name="_xlnm.Print_Area" localSheetId="1">'S &amp; U'!$A$2:$M$35</definedName>
    <definedName name="_xlnm.Print_Area" localSheetId="37">Segments!$A$1:$V$25</definedName>
    <definedName name="_xlnm.Print_Area" localSheetId="28">'tim1'!$A$1:$P$23</definedName>
    <definedName name="_xlnm.Print_Area" localSheetId="17">'Valuation - DCF'!$A$1:$Q$65</definedName>
    <definedName name="_xlnm.Print_Area" localSheetId="44">'Valuations Summary'!$A$1:$M$19</definedName>
    <definedName name="_xlnm.Print_Titles" localSheetId="17">'Valuation - DCF'!$1:$1</definedName>
  </definedNames>
  <calcPr calcId="0" fullCalcOnLoad="1" iterate="1" iterateCount="1000"/>
</workbook>
</file>

<file path=xl/calcChain.xml><?xml version="1.0" encoding="utf-8"?>
<calcChain xmlns="http://schemas.openxmlformats.org/spreadsheetml/2006/main">
  <c r="E7" i="53" l="1"/>
  <c r="F7" i="53"/>
  <c r="G7" i="53"/>
  <c r="H7" i="53"/>
  <c r="I7" i="53"/>
  <c r="J7" i="53"/>
  <c r="K7" i="53"/>
  <c r="E8" i="53"/>
  <c r="F8" i="53"/>
  <c r="G8" i="53"/>
  <c r="H8" i="53"/>
  <c r="I8" i="53"/>
  <c r="J8" i="53"/>
  <c r="K8" i="53"/>
  <c r="E9" i="53"/>
  <c r="F9" i="53"/>
  <c r="G9" i="53"/>
  <c r="H9" i="53"/>
  <c r="I9" i="53"/>
  <c r="J9" i="53"/>
  <c r="K9" i="53"/>
  <c r="E10" i="53"/>
  <c r="F10" i="53"/>
  <c r="G10" i="53"/>
  <c r="H10" i="53"/>
  <c r="I10" i="53"/>
  <c r="J10" i="53"/>
  <c r="K10" i="53"/>
  <c r="E12" i="53"/>
  <c r="F12" i="53"/>
  <c r="G12" i="53"/>
  <c r="H12" i="53"/>
  <c r="I12" i="53"/>
  <c r="J12" i="53"/>
  <c r="K12" i="53"/>
  <c r="E13" i="53"/>
  <c r="F13" i="53"/>
  <c r="G13" i="53"/>
  <c r="H13" i="53"/>
  <c r="I13" i="53"/>
  <c r="J13" i="53"/>
  <c r="K13" i="53"/>
  <c r="E14" i="53"/>
  <c r="F14" i="53"/>
  <c r="G14" i="53"/>
  <c r="H14" i="53"/>
  <c r="I14" i="53"/>
  <c r="J14" i="53"/>
  <c r="K14" i="53"/>
  <c r="D17" i="53"/>
  <c r="E17" i="53"/>
  <c r="F17" i="53"/>
  <c r="G17" i="53"/>
  <c r="H17" i="53"/>
  <c r="I17" i="53"/>
  <c r="J17" i="53"/>
  <c r="K17" i="53"/>
  <c r="E18" i="53"/>
  <c r="F18" i="53"/>
  <c r="G18" i="53"/>
  <c r="H18" i="53"/>
  <c r="I18" i="53"/>
  <c r="J18" i="53"/>
  <c r="K18" i="53"/>
  <c r="D20" i="53"/>
  <c r="E20" i="53"/>
  <c r="F20" i="53"/>
  <c r="G20" i="53"/>
  <c r="H20" i="53"/>
  <c r="I20" i="53"/>
  <c r="J20" i="53"/>
  <c r="K20" i="53"/>
  <c r="D21" i="53"/>
  <c r="E21" i="53"/>
  <c r="F21" i="53"/>
  <c r="G21" i="53"/>
  <c r="H21" i="53"/>
  <c r="I21" i="53"/>
  <c r="J21" i="53"/>
  <c r="K21" i="53"/>
  <c r="D23" i="53"/>
  <c r="E23" i="53"/>
  <c r="F23" i="53"/>
  <c r="G23" i="53"/>
  <c r="H23" i="53"/>
  <c r="I23" i="53"/>
  <c r="J23" i="53"/>
  <c r="K23" i="53"/>
  <c r="D24" i="53"/>
  <c r="E24" i="53"/>
  <c r="F24" i="53"/>
  <c r="G24" i="53"/>
  <c r="H24" i="53"/>
  <c r="I24" i="53"/>
  <c r="J24" i="53"/>
  <c r="K24" i="53"/>
  <c r="D27" i="53"/>
  <c r="E27" i="53"/>
  <c r="F27" i="53"/>
  <c r="G27" i="53"/>
  <c r="H27" i="53"/>
  <c r="I27" i="53"/>
  <c r="J27" i="53"/>
  <c r="K27" i="53"/>
  <c r="D28" i="53"/>
  <c r="E28" i="53"/>
  <c r="F28" i="53"/>
  <c r="G28" i="53"/>
  <c r="H28" i="53"/>
  <c r="I28" i="53"/>
  <c r="J28" i="53"/>
  <c r="K28" i="53"/>
  <c r="E31" i="53"/>
  <c r="F31" i="53"/>
  <c r="G31" i="53"/>
  <c r="H31" i="53"/>
  <c r="I31" i="53"/>
  <c r="J31" i="53"/>
  <c r="K31" i="53"/>
  <c r="E32" i="53"/>
  <c r="F32" i="53"/>
  <c r="G32" i="53"/>
  <c r="H32" i="53"/>
  <c r="I32" i="53"/>
  <c r="J32" i="53"/>
  <c r="K32" i="53"/>
  <c r="E33" i="53"/>
  <c r="F33" i="53"/>
  <c r="G33" i="53"/>
  <c r="H33" i="53"/>
  <c r="I33" i="53"/>
  <c r="J33" i="53"/>
  <c r="K33" i="53"/>
  <c r="E34" i="53"/>
  <c r="F34" i="53"/>
  <c r="G34" i="53"/>
  <c r="H34" i="53"/>
  <c r="I34" i="53"/>
  <c r="J34" i="53"/>
  <c r="K34" i="53"/>
  <c r="E35" i="53"/>
  <c r="F35" i="53"/>
  <c r="G35" i="53"/>
  <c r="H35" i="53"/>
  <c r="I35" i="53"/>
  <c r="J35" i="53"/>
  <c r="K35" i="53"/>
  <c r="F5" i="54"/>
  <c r="G5" i="54"/>
  <c r="H5" i="54"/>
  <c r="I5" i="54"/>
  <c r="J5" i="54"/>
  <c r="K5" i="54"/>
  <c r="E6" i="54"/>
  <c r="F6" i="54"/>
  <c r="G6" i="54"/>
  <c r="H6" i="54"/>
  <c r="I6" i="54"/>
  <c r="J6" i="54"/>
  <c r="K6" i="54"/>
  <c r="E8" i="54"/>
  <c r="F8" i="54"/>
  <c r="G8" i="54"/>
  <c r="H8" i="54"/>
  <c r="I8" i="54"/>
  <c r="J8" i="54"/>
  <c r="K8" i="54"/>
  <c r="E9" i="54"/>
  <c r="F9" i="54"/>
  <c r="G9" i="54"/>
  <c r="H9" i="54"/>
  <c r="I9" i="54"/>
  <c r="J9" i="54"/>
  <c r="K9" i="54"/>
  <c r="E10" i="54"/>
  <c r="F10" i="54"/>
  <c r="G10" i="54"/>
  <c r="H10" i="54"/>
  <c r="I10" i="54"/>
  <c r="J10" i="54"/>
  <c r="K10" i="54"/>
  <c r="E12" i="54"/>
  <c r="F12" i="54"/>
  <c r="G12" i="54"/>
  <c r="H12" i="54"/>
  <c r="I12" i="54"/>
  <c r="J12" i="54"/>
  <c r="K12" i="54"/>
  <c r="E13" i="54"/>
  <c r="F13" i="54"/>
  <c r="G13" i="54"/>
  <c r="H13" i="54"/>
  <c r="I13" i="54"/>
  <c r="J13" i="54"/>
  <c r="K13" i="54"/>
  <c r="E14" i="54"/>
  <c r="F14" i="54"/>
  <c r="G14" i="54"/>
  <c r="H14" i="54"/>
  <c r="I14" i="54"/>
  <c r="J14" i="54"/>
  <c r="K14" i="54"/>
  <c r="E15" i="54"/>
  <c r="F15" i="54"/>
  <c r="G15" i="54"/>
  <c r="H15" i="54"/>
  <c r="I15" i="54"/>
  <c r="J15" i="54"/>
  <c r="K15" i="54"/>
  <c r="D18" i="54"/>
  <c r="E18" i="54"/>
  <c r="F18" i="54"/>
  <c r="G18" i="54"/>
  <c r="H18" i="54"/>
  <c r="I18" i="54"/>
  <c r="J18" i="54"/>
  <c r="K18" i="54"/>
  <c r="D21" i="54"/>
  <c r="E21" i="54"/>
  <c r="F21" i="54"/>
  <c r="G21" i="54"/>
  <c r="H21" i="54"/>
  <c r="I21" i="54"/>
  <c r="J21" i="54"/>
  <c r="K21" i="54"/>
  <c r="D22" i="54"/>
  <c r="E22" i="54"/>
  <c r="F22" i="54"/>
  <c r="G22" i="54"/>
  <c r="H22" i="54"/>
  <c r="I22" i="54"/>
  <c r="J22" i="54"/>
  <c r="K22" i="54"/>
  <c r="C6" i="52"/>
  <c r="I6" i="52"/>
  <c r="G7" i="52"/>
  <c r="M7" i="52"/>
  <c r="G8" i="52"/>
  <c r="M8" i="52"/>
  <c r="C9" i="52"/>
  <c r="D9" i="52"/>
  <c r="E9" i="52"/>
  <c r="F9" i="52"/>
  <c r="G9" i="52"/>
  <c r="I9" i="52"/>
  <c r="J9" i="52"/>
  <c r="K9" i="52"/>
  <c r="L9" i="52"/>
  <c r="M9" i="52"/>
  <c r="O9" i="52"/>
  <c r="C11" i="52"/>
  <c r="I11" i="52"/>
  <c r="G12" i="52"/>
  <c r="M12" i="52"/>
  <c r="G13" i="52"/>
  <c r="M13" i="52"/>
  <c r="C14" i="52"/>
  <c r="D14" i="52"/>
  <c r="E14" i="52"/>
  <c r="F14" i="52"/>
  <c r="G14" i="52"/>
  <c r="I14" i="52"/>
  <c r="J14" i="52"/>
  <c r="K14" i="52"/>
  <c r="L14" i="52"/>
  <c r="M14" i="52"/>
  <c r="O14" i="52"/>
  <c r="C16" i="52"/>
  <c r="I16" i="52"/>
  <c r="G17" i="52"/>
  <c r="M17" i="52"/>
  <c r="G18" i="52"/>
  <c r="M18" i="52"/>
  <c r="C19" i="52"/>
  <c r="D19" i="52"/>
  <c r="E19" i="52"/>
  <c r="F19" i="52"/>
  <c r="G19" i="52"/>
  <c r="I19" i="52"/>
  <c r="J19" i="52"/>
  <c r="K19" i="52"/>
  <c r="L19" i="52"/>
  <c r="M19" i="52"/>
  <c r="O19" i="52"/>
  <c r="C21" i="52"/>
  <c r="I21" i="52"/>
  <c r="G22" i="52"/>
  <c r="M22" i="52"/>
  <c r="G23" i="52"/>
  <c r="M23" i="52"/>
  <c r="C24" i="52"/>
  <c r="D24" i="52"/>
  <c r="E24" i="52"/>
  <c r="F24" i="52"/>
  <c r="G24" i="52"/>
  <c r="I24" i="52"/>
  <c r="J24" i="52"/>
  <c r="K24" i="52"/>
  <c r="L24" i="52"/>
  <c r="M24" i="52"/>
  <c r="O24" i="52"/>
  <c r="C28" i="52"/>
  <c r="D28" i="52"/>
  <c r="E28" i="52"/>
  <c r="F28" i="52"/>
  <c r="G28" i="52"/>
  <c r="I28" i="52"/>
  <c r="J28" i="52"/>
  <c r="K28" i="52"/>
  <c r="L28" i="52"/>
  <c r="M28" i="52"/>
  <c r="C29" i="52"/>
  <c r="D29" i="52"/>
  <c r="E29" i="52"/>
  <c r="F29" i="52"/>
  <c r="G29" i="52"/>
  <c r="I29" i="52"/>
  <c r="J29" i="52"/>
  <c r="K29" i="52"/>
  <c r="L29" i="52"/>
  <c r="M29" i="52"/>
  <c r="C30" i="52"/>
  <c r="D30" i="52"/>
  <c r="E30" i="52"/>
  <c r="F30" i="52"/>
  <c r="G30" i="52"/>
  <c r="I30" i="52"/>
  <c r="J30" i="52"/>
  <c r="K30" i="52"/>
  <c r="L30" i="52"/>
  <c r="M30" i="52"/>
  <c r="O30" i="52"/>
  <c r="C6" i="51"/>
  <c r="I6" i="51"/>
  <c r="G7" i="51"/>
  <c r="M7" i="51"/>
  <c r="G8" i="51"/>
  <c r="M8" i="51"/>
  <c r="C9" i="51"/>
  <c r="D9" i="51"/>
  <c r="E9" i="51"/>
  <c r="F9" i="51"/>
  <c r="G9" i="51"/>
  <c r="I9" i="51"/>
  <c r="J9" i="51"/>
  <c r="K9" i="51"/>
  <c r="L9" i="51"/>
  <c r="M9" i="51"/>
  <c r="O9" i="51"/>
  <c r="C11" i="51"/>
  <c r="I11" i="51"/>
  <c r="G12" i="51"/>
  <c r="M12" i="51"/>
  <c r="G13" i="51"/>
  <c r="M13" i="51"/>
  <c r="C14" i="51"/>
  <c r="D14" i="51"/>
  <c r="E14" i="51"/>
  <c r="F14" i="51"/>
  <c r="G14" i="51"/>
  <c r="I14" i="51"/>
  <c r="J14" i="51"/>
  <c r="K14" i="51"/>
  <c r="L14" i="51"/>
  <c r="M14" i="51"/>
  <c r="O14" i="51"/>
  <c r="C16" i="51"/>
  <c r="I16" i="51"/>
  <c r="G17" i="51"/>
  <c r="M17" i="51"/>
  <c r="G18" i="51"/>
  <c r="M18" i="51"/>
  <c r="C19" i="51"/>
  <c r="D19" i="51"/>
  <c r="E19" i="51"/>
  <c r="F19" i="51"/>
  <c r="G19" i="51"/>
  <c r="I19" i="51"/>
  <c r="J19" i="51"/>
  <c r="K19" i="51"/>
  <c r="L19" i="51"/>
  <c r="M19" i="51"/>
  <c r="O19" i="51"/>
  <c r="C21" i="51"/>
  <c r="I21" i="51"/>
  <c r="G22" i="51"/>
  <c r="M22" i="51"/>
  <c r="G23" i="51"/>
  <c r="M23" i="51"/>
  <c r="C24" i="51"/>
  <c r="D24" i="51"/>
  <c r="E24" i="51"/>
  <c r="F24" i="51"/>
  <c r="G24" i="51"/>
  <c r="I24" i="51"/>
  <c r="J24" i="51"/>
  <c r="K24" i="51"/>
  <c r="L24" i="51"/>
  <c r="M24" i="51"/>
  <c r="O24" i="51"/>
  <c r="C28" i="51"/>
  <c r="D28" i="51"/>
  <c r="E28" i="51"/>
  <c r="F28" i="51"/>
  <c r="G28" i="51"/>
  <c r="I28" i="51"/>
  <c r="J28" i="51"/>
  <c r="K28" i="51"/>
  <c r="L28" i="51"/>
  <c r="M28" i="51"/>
  <c r="C29" i="51"/>
  <c r="D29" i="51"/>
  <c r="E29" i="51"/>
  <c r="F29" i="51"/>
  <c r="G29" i="51"/>
  <c r="I29" i="51"/>
  <c r="J29" i="51"/>
  <c r="K29" i="51"/>
  <c r="L29" i="51"/>
  <c r="M29" i="51"/>
  <c r="C30" i="51"/>
  <c r="D30" i="51"/>
  <c r="E30" i="51"/>
  <c r="F30" i="51"/>
  <c r="G30" i="51"/>
  <c r="I30" i="51"/>
  <c r="J30" i="51"/>
  <c r="K30" i="51"/>
  <c r="L30" i="51"/>
  <c r="M30" i="51"/>
  <c r="O30" i="51"/>
  <c r="I11" i="33"/>
  <c r="I14" i="33"/>
  <c r="I17" i="33"/>
  <c r="I20" i="33"/>
  <c r="I24" i="33"/>
  <c r="B46" i="39"/>
  <c r="E7" i="32"/>
  <c r="F7" i="32"/>
  <c r="G7" i="32"/>
  <c r="H7" i="32"/>
  <c r="I7" i="32"/>
  <c r="J7" i="32"/>
  <c r="K7" i="32"/>
  <c r="E8" i="32"/>
  <c r="F8" i="32"/>
  <c r="G8" i="32"/>
  <c r="H8" i="32"/>
  <c r="I8" i="32"/>
  <c r="J8" i="32"/>
  <c r="K8" i="32"/>
  <c r="E9" i="32"/>
  <c r="F9" i="32"/>
  <c r="G9" i="32"/>
  <c r="H9" i="32"/>
  <c r="I9" i="32"/>
  <c r="J9" i="32"/>
  <c r="K9" i="32"/>
  <c r="E10" i="32"/>
  <c r="F10" i="32"/>
  <c r="G10" i="32"/>
  <c r="H10" i="32"/>
  <c r="I10" i="32"/>
  <c r="J10" i="32"/>
  <c r="K10" i="32"/>
  <c r="D14" i="32"/>
  <c r="E14" i="32"/>
  <c r="F14" i="32"/>
  <c r="G14" i="32"/>
  <c r="H14" i="32"/>
  <c r="I14" i="32"/>
  <c r="J14" i="32"/>
  <c r="K14" i="32"/>
  <c r="E15" i="32"/>
  <c r="F15" i="32"/>
  <c r="G15" i="32"/>
  <c r="H15" i="32"/>
  <c r="I15" i="32"/>
  <c r="J15" i="32"/>
  <c r="K15" i="32"/>
  <c r="D17" i="32"/>
  <c r="E17" i="32"/>
  <c r="F17" i="32"/>
  <c r="G17" i="32"/>
  <c r="H17" i="32"/>
  <c r="I17" i="32"/>
  <c r="J17" i="32"/>
  <c r="K17" i="32"/>
  <c r="D18" i="32"/>
  <c r="E18" i="32"/>
  <c r="F18" i="32"/>
  <c r="G18" i="32"/>
  <c r="H18" i="32"/>
  <c r="I18" i="32"/>
  <c r="J18" i="32"/>
  <c r="K18" i="32"/>
  <c r="D20" i="32"/>
  <c r="E20" i="32"/>
  <c r="F20" i="32"/>
  <c r="G20" i="32"/>
  <c r="H20" i="32"/>
  <c r="I20" i="32"/>
  <c r="J20" i="32"/>
  <c r="K20" i="32"/>
  <c r="D21" i="32"/>
  <c r="E21" i="32"/>
  <c r="F21" i="32"/>
  <c r="G21" i="32"/>
  <c r="H21" i="32"/>
  <c r="I21" i="32"/>
  <c r="J21" i="32"/>
  <c r="K21" i="32"/>
  <c r="D24" i="32"/>
  <c r="E24" i="32"/>
  <c r="F24" i="32"/>
  <c r="G24" i="32"/>
  <c r="H24" i="32"/>
  <c r="I24" i="32"/>
  <c r="J24" i="32"/>
  <c r="K24" i="32"/>
  <c r="D25" i="32"/>
  <c r="E25" i="32"/>
  <c r="F25" i="32"/>
  <c r="G25" i="32"/>
  <c r="H25" i="32"/>
  <c r="I25" i="32"/>
  <c r="J25" i="32"/>
  <c r="K25" i="32"/>
  <c r="E28" i="32"/>
  <c r="F28" i="32"/>
  <c r="G28" i="32"/>
  <c r="H28" i="32"/>
  <c r="I28" i="32"/>
  <c r="J28" i="32"/>
  <c r="K28" i="32"/>
  <c r="E29" i="32"/>
  <c r="F29" i="32"/>
  <c r="G29" i="32"/>
  <c r="H29" i="32"/>
  <c r="I29" i="32"/>
  <c r="J29" i="32"/>
  <c r="K29" i="32"/>
  <c r="E30" i="32"/>
  <c r="F30" i="32"/>
  <c r="G30" i="32"/>
  <c r="H30" i="32"/>
  <c r="I30" i="32"/>
  <c r="J30" i="32"/>
  <c r="K30" i="32"/>
  <c r="E31" i="32"/>
  <c r="F31" i="32"/>
  <c r="G31" i="32"/>
  <c r="H31" i="32"/>
  <c r="I31" i="32"/>
  <c r="J31" i="32"/>
  <c r="K31" i="32"/>
  <c r="E32" i="32"/>
  <c r="F32" i="32"/>
  <c r="G32" i="32"/>
  <c r="H32" i="32"/>
  <c r="I32" i="32"/>
  <c r="J32" i="32"/>
  <c r="K32" i="32"/>
  <c r="F5" i="21"/>
  <c r="G5" i="21"/>
  <c r="H5" i="21"/>
  <c r="I5" i="21"/>
  <c r="J5" i="21"/>
  <c r="K5" i="21"/>
  <c r="E7" i="21"/>
  <c r="F7" i="21"/>
  <c r="G7" i="21"/>
  <c r="H7" i="21"/>
  <c r="I7" i="21"/>
  <c r="J7" i="21"/>
  <c r="K7" i="21"/>
  <c r="E8" i="21"/>
  <c r="F8" i="21"/>
  <c r="G8" i="21"/>
  <c r="H8" i="21"/>
  <c r="I8" i="21"/>
  <c r="J8" i="21"/>
  <c r="K8" i="21"/>
  <c r="E9" i="21"/>
  <c r="F9" i="21"/>
  <c r="G9" i="21"/>
  <c r="H9" i="21"/>
  <c r="I9" i="21"/>
  <c r="J9" i="21"/>
  <c r="K9" i="21"/>
  <c r="E10" i="21"/>
  <c r="F10" i="21"/>
  <c r="G10" i="21"/>
  <c r="H10" i="21"/>
  <c r="I10" i="21"/>
  <c r="J10" i="21"/>
  <c r="K10" i="21"/>
  <c r="E12" i="21"/>
  <c r="F12" i="21"/>
  <c r="G12" i="21"/>
  <c r="H12" i="21"/>
  <c r="I12" i="21"/>
  <c r="J12" i="21"/>
  <c r="K12" i="21"/>
  <c r="E13" i="21"/>
  <c r="F13" i="21"/>
  <c r="G13" i="21"/>
  <c r="H13" i="21"/>
  <c r="I13" i="21"/>
  <c r="J13" i="21"/>
  <c r="K13" i="21"/>
  <c r="E14" i="21"/>
  <c r="F14" i="21"/>
  <c r="G14" i="21"/>
  <c r="H14" i="21"/>
  <c r="I14" i="21"/>
  <c r="J14" i="21"/>
  <c r="K14" i="21"/>
  <c r="E15" i="21"/>
  <c r="F15" i="21"/>
  <c r="G15" i="21"/>
  <c r="H15" i="21"/>
  <c r="I15" i="21"/>
  <c r="J15" i="21"/>
  <c r="K15" i="21"/>
  <c r="D18" i="21"/>
  <c r="E18" i="21"/>
  <c r="F18" i="21"/>
  <c r="G18" i="21"/>
  <c r="H18" i="21"/>
  <c r="I18" i="21"/>
  <c r="J18" i="21"/>
  <c r="K18" i="21"/>
  <c r="D21" i="21"/>
  <c r="E21" i="21"/>
  <c r="F21" i="21"/>
  <c r="G21" i="21"/>
  <c r="H21" i="21"/>
  <c r="I21" i="21"/>
  <c r="J21" i="21"/>
  <c r="K21" i="21"/>
  <c r="D22" i="21"/>
  <c r="E22" i="21"/>
  <c r="F22" i="21"/>
  <c r="G22" i="21"/>
  <c r="H22" i="21"/>
  <c r="I22" i="21"/>
  <c r="J22" i="21"/>
  <c r="K22" i="21"/>
  <c r="D23" i="21"/>
  <c r="E23" i="21"/>
  <c r="F23" i="21"/>
  <c r="G23" i="21"/>
  <c r="H23" i="21"/>
  <c r="I23" i="21"/>
  <c r="J23" i="21"/>
  <c r="K23" i="21"/>
  <c r="H7" i="48"/>
  <c r="F8" i="48"/>
  <c r="G8" i="48"/>
  <c r="H8" i="48"/>
  <c r="I8" i="48"/>
  <c r="J8" i="48"/>
  <c r="K8" i="48"/>
  <c r="L8" i="48"/>
  <c r="E9" i="48"/>
  <c r="F9" i="48"/>
  <c r="G9" i="48"/>
  <c r="H9" i="48"/>
  <c r="I9" i="48"/>
  <c r="J9" i="48"/>
  <c r="K9" i="48"/>
  <c r="L9" i="48"/>
  <c r="E12" i="48"/>
  <c r="F12" i="48"/>
  <c r="G12" i="48"/>
  <c r="H12" i="48"/>
  <c r="I12" i="48"/>
  <c r="J12" i="48"/>
  <c r="K12" i="48"/>
  <c r="L12" i="48"/>
  <c r="G10" i="1"/>
  <c r="I10" i="1"/>
  <c r="J10" i="1"/>
  <c r="K10" i="1"/>
  <c r="L10" i="1"/>
  <c r="M10" i="1"/>
  <c r="N10" i="1"/>
  <c r="I11" i="1"/>
  <c r="K11" i="1"/>
  <c r="L11" i="1"/>
  <c r="M11" i="1"/>
  <c r="N11" i="1"/>
  <c r="G12" i="1"/>
  <c r="I12" i="1"/>
  <c r="J12" i="1"/>
  <c r="K12" i="1"/>
  <c r="L12" i="1"/>
  <c r="M12" i="1"/>
  <c r="N12" i="1"/>
  <c r="G13" i="1"/>
  <c r="I13" i="1"/>
  <c r="J13" i="1"/>
  <c r="K13" i="1"/>
  <c r="L13" i="1"/>
  <c r="M13" i="1"/>
  <c r="N13" i="1"/>
  <c r="G14" i="1"/>
  <c r="I14" i="1"/>
  <c r="J14" i="1"/>
  <c r="K14" i="1"/>
  <c r="L14" i="1"/>
  <c r="M14" i="1"/>
  <c r="N14" i="1"/>
  <c r="G15" i="1"/>
  <c r="I15" i="1"/>
  <c r="J15" i="1"/>
  <c r="K15" i="1"/>
  <c r="L15" i="1"/>
  <c r="M15" i="1"/>
  <c r="N15" i="1"/>
  <c r="B16" i="1"/>
  <c r="C16" i="1"/>
  <c r="D16" i="1"/>
  <c r="E16" i="1"/>
  <c r="F16" i="1"/>
  <c r="G16" i="1"/>
  <c r="I16" i="1"/>
  <c r="J16" i="1"/>
  <c r="K16" i="1"/>
  <c r="L16" i="1"/>
  <c r="M16" i="1"/>
  <c r="N16" i="1"/>
  <c r="G18" i="1"/>
  <c r="H18" i="1"/>
  <c r="I18" i="1"/>
  <c r="J18" i="1"/>
  <c r="K18" i="1"/>
  <c r="L18" i="1"/>
  <c r="M18" i="1"/>
  <c r="N18" i="1"/>
  <c r="G20" i="1"/>
  <c r="H20" i="1"/>
  <c r="I20" i="1"/>
  <c r="J20" i="1"/>
  <c r="K20" i="1"/>
  <c r="L20" i="1"/>
  <c r="M20" i="1"/>
  <c r="N20" i="1"/>
  <c r="B22" i="1"/>
  <c r="C22" i="1"/>
  <c r="D22" i="1"/>
  <c r="E22" i="1"/>
  <c r="F22" i="1"/>
  <c r="G22" i="1"/>
  <c r="I22" i="1"/>
  <c r="J22" i="1"/>
  <c r="K22" i="1"/>
  <c r="L22" i="1"/>
  <c r="M22" i="1"/>
  <c r="N22" i="1"/>
  <c r="G27" i="1"/>
  <c r="I27" i="1"/>
  <c r="J27" i="1"/>
  <c r="K27" i="1"/>
  <c r="L27" i="1"/>
  <c r="M27" i="1"/>
  <c r="N27" i="1"/>
  <c r="G28" i="1"/>
  <c r="I28" i="1"/>
  <c r="J28" i="1"/>
  <c r="K28" i="1"/>
  <c r="L28" i="1"/>
  <c r="M28" i="1"/>
  <c r="N28" i="1"/>
  <c r="G29" i="1"/>
  <c r="I29" i="1"/>
  <c r="J29" i="1"/>
  <c r="K29" i="1"/>
  <c r="L29" i="1"/>
  <c r="M29" i="1"/>
  <c r="N29" i="1"/>
  <c r="G30" i="1"/>
  <c r="I30" i="1"/>
  <c r="J30" i="1"/>
  <c r="K30" i="1"/>
  <c r="L30" i="1"/>
  <c r="M30" i="1"/>
  <c r="N30" i="1"/>
  <c r="B31" i="1"/>
  <c r="C31" i="1"/>
  <c r="D31" i="1"/>
  <c r="E31" i="1"/>
  <c r="F31" i="1"/>
  <c r="G31" i="1"/>
  <c r="I31" i="1"/>
  <c r="J31" i="1"/>
  <c r="K31" i="1"/>
  <c r="L31" i="1"/>
  <c r="M31" i="1"/>
  <c r="N31" i="1"/>
  <c r="G33" i="1"/>
  <c r="I33" i="1"/>
  <c r="J33" i="1"/>
  <c r="K33" i="1"/>
  <c r="L33" i="1"/>
  <c r="M33" i="1"/>
  <c r="N33" i="1"/>
  <c r="G35" i="1"/>
  <c r="I35" i="1"/>
  <c r="J35" i="1"/>
  <c r="K35" i="1"/>
  <c r="L35" i="1"/>
  <c r="M35" i="1"/>
  <c r="N35" i="1"/>
  <c r="G37" i="1"/>
  <c r="H37" i="1"/>
  <c r="I37" i="1"/>
  <c r="J37" i="1"/>
  <c r="K37" i="1"/>
  <c r="L37" i="1"/>
  <c r="M37" i="1"/>
  <c r="N37" i="1"/>
  <c r="B39" i="1"/>
  <c r="C39" i="1"/>
  <c r="D39" i="1"/>
  <c r="E39" i="1"/>
  <c r="F39" i="1"/>
  <c r="G39" i="1"/>
  <c r="I39" i="1"/>
  <c r="J39" i="1"/>
  <c r="K39" i="1"/>
  <c r="L39" i="1"/>
  <c r="M39" i="1"/>
  <c r="N39" i="1"/>
  <c r="B40" i="1"/>
  <c r="C40" i="1"/>
  <c r="D40" i="1"/>
  <c r="E40" i="1"/>
  <c r="F40" i="1"/>
  <c r="G40" i="1"/>
  <c r="H40" i="1"/>
  <c r="I40" i="1"/>
  <c r="J40" i="1"/>
  <c r="K40" i="1"/>
  <c r="L40" i="1"/>
  <c r="M40" i="1"/>
  <c r="N40" i="1"/>
  <c r="B42" i="1"/>
  <c r="C42" i="1"/>
  <c r="D42" i="1"/>
  <c r="E42" i="1"/>
  <c r="F42" i="1"/>
  <c r="G42" i="1"/>
  <c r="I42" i="1"/>
  <c r="J42" i="1"/>
  <c r="K42" i="1"/>
  <c r="L42" i="1"/>
  <c r="M42" i="1"/>
  <c r="N42" i="1"/>
  <c r="B43" i="1"/>
  <c r="C43" i="1"/>
  <c r="D43" i="1"/>
  <c r="E43" i="1"/>
  <c r="F43" i="1"/>
  <c r="G43" i="1"/>
  <c r="I43" i="1"/>
  <c r="J43" i="1"/>
  <c r="K43" i="1"/>
  <c r="L43" i="1"/>
  <c r="M43" i="1"/>
  <c r="N43" i="1"/>
  <c r="B45" i="1"/>
  <c r="C45" i="1"/>
  <c r="D45" i="1"/>
  <c r="E45" i="1"/>
  <c r="F45" i="1"/>
  <c r="G45" i="1"/>
  <c r="I45" i="1"/>
  <c r="J45" i="1"/>
  <c r="K45" i="1"/>
  <c r="L45" i="1"/>
  <c r="M45" i="1"/>
  <c r="N45" i="1"/>
  <c r="B46" i="1"/>
  <c r="C46" i="1"/>
  <c r="D46" i="1"/>
  <c r="E46" i="1"/>
  <c r="F46" i="1"/>
  <c r="G46" i="1"/>
  <c r="I46" i="1"/>
  <c r="J46" i="1"/>
  <c r="K46" i="1"/>
  <c r="L46" i="1"/>
  <c r="M46" i="1"/>
  <c r="N46" i="1"/>
  <c r="B47" i="1"/>
  <c r="C47" i="1"/>
  <c r="D47" i="1"/>
  <c r="E47" i="1"/>
  <c r="F47" i="1"/>
  <c r="G47" i="1"/>
  <c r="I47" i="1"/>
  <c r="J47" i="1"/>
  <c r="K47" i="1"/>
  <c r="L47" i="1"/>
  <c r="M47" i="1"/>
  <c r="N47" i="1"/>
  <c r="B48" i="1"/>
  <c r="C48" i="1"/>
  <c r="D48" i="1"/>
  <c r="E48" i="1"/>
  <c r="F48" i="1"/>
  <c r="G48" i="1"/>
  <c r="I48" i="1"/>
  <c r="J48" i="1"/>
  <c r="K48" i="1"/>
  <c r="L48" i="1"/>
  <c r="M48" i="1"/>
  <c r="N48" i="1"/>
  <c r="Q6" i="46"/>
  <c r="R6" i="46"/>
  <c r="S6" i="46"/>
  <c r="T6" i="46"/>
  <c r="Q7" i="46"/>
  <c r="R7" i="46"/>
  <c r="S7" i="46"/>
  <c r="T7" i="46"/>
  <c r="Q8" i="46"/>
  <c r="R8" i="46"/>
  <c r="S8" i="46"/>
  <c r="T8" i="46"/>
  <c r="Q9" i="46"/>
  <c r="R9" i="46"/>
  <c r="S9" i="46"/>
  <c r="T9" i="46"/>
  <c r="F10" i="46"/>
  <c r="H10" i="46"/>
  <c r="J10" i="46"/>
  <c r="M10" i="46"/>
  <c r="N10" i="46"/>
  <c r="O10" i="46"/>
  <c r="Q10" i="46"/>
  <c r="R10" i="46"/>
  <c r="S10" i="46"/>
  <c r="T10" i="46"/>
  <c r="J13" i="46"/>
  <c r="Q13" i="46"/>
  <c r="R13" i="46"/>
  <c r="S13" i="46"/>
  <c r="T13" i="46"/>
  <c r="J14" i="46"/>
  <c r="Q14" i="46"/>
  <c r="R14" i="46"/>
  <c r="S14" i="46"/>
  <c r="T14" i="46"/>
  <c r="J15" i="46"/>
  <c r="Q15" i="46"/>
  <c r="R15" i="46"/>
  <c r="S15" i="46"/>
  <c r="T15" i="46"/>
  <c r="F16" i="46"/>
  <c r="H16" i="46"/>
  <c r="J16" i="46"/>
  <c r="L16" i="46"/>
  <c r="M16" i="46"/>
  <c r="N16" i="46"/>
  <c r="O16" i="46"/>
  <c r="Q16" i="46"/>
  <c r="R16" i="46"/>
  <c r="S16" i="46"/>
  <c r="T16" i="46"/>
  <c r="J19" i="46"/>
  <c r="Q19" i="46"/>
  <c r="R19" i="46"/>
  <c r="S19" i="46"/>
  <c r="T19" i="46"/>
  <c r="J20" i="46"/>
  <c r="Q20" i="46"/>
  <c r="R20" i="46"/>
  <c r="S20" i="46"/>
  <c r="T20" i="46"/>
  <c r="J21" i="46"/>
  <c r="Q21" i="46"/>
  <c r="R21" i="46"/>
  <c r="S21" i="46"/>
  <c r="T21" i="46"/>
  <c r="F22" i="46"/>
  <c r="H22" i="46"/>
  <c r="J22" i="46"/>
  <c r="M22" i="46"/>
  <c r="N22" i="46"/>
  <c r="O22" i="46"/>
  <c r="Q22" i="46"/>
  <c r="R22" i="46"/>
  <c r="S22" i="46"/>
  <c r="T22" i="46"/>
  <c r="J25" i="46"/>
  <c r="Q25" i="46"/>
  <c r="R25" i="46"/>
  <c r="S25" i="46"/>
  <c r="T25" i="46"/>
  <c r="J26" i="46"/>
  <c r="Q26" i="46"/>
  <c r="R26" i="46"/>
  <c r="S26" i="46"/>
  <c r="T26" i="46"/>
  <c r="J27" i="46"/>
  <c r="Q27" i="46"/>
  <c r="R27" i="46"/>
  <c r="S27" i="46"/>
  <c r="T27" i="46"/>
  <c r="F28" i="46"/>
  <c r="H28" i="46"/>
  <c r="J28" i="46"/>
  <c r="L28" i="46"/>
  <c r="M28" i="46"/>
  <c r="N28" i="46"/>
  <c r="O28" i="46"/>
  <c r="Q28" i="46"/>
  <c r="R28" i="46"/>
  <c r="S28" i="46"/>
  <c r="T28" i="46"/>
  <c r="J31" i="46"/>
  <c r="Q31" i="46"/>
  <c r="R31" i="46"/>
  <c r="S31" i="46"/>
  <c r="T31" i="46"/>
  <c r="J32" i="46"/>
  <c r="Q32" i="46"/>
  <c r="R32" i="46"/>
  <c r="S32" i="46"/>
  <c r="T32" i="46"/>
  <c r="J33" i="46"/>
  <c r="Q33" i="46"/>
  <c r="R33" i="46"/>
  <c r="S33" i="46"/>
  <c r="T33" i="46"/>
  <c r="J34" i="46"/>
  <c r="Q34" i="46"/>
  <c r="R34" i="46"/>
  <c r="S34" i="46"/>
  <c r="T34" i="46"/>
  <c r="F35" i="46"/>
  <c r="H35" i="46"/>
  <c r="J35" i="46"/>
  <c r="L35" i="46"/>
  <c r="M35" i="46"/>
  <c r="N35" i="46"/>
  <c r="O35" i="46"/>
  <c r="Q35" i="46"/>
  <c r="R35" i="46"/>
  <c r="S35" i="46"/>
  <c r="T35" i="46"/>
  <c r="F37" i="46"/>
  <c r="H37" i="46"/>
  <c r="J37" i="46"/>
  <c r="L37" i="46"/>
  <c r="M37" i="46"/>
  <c r="N37" i="46"/>
  <c r="O37" i="46"/>
  <c r="Q37" i="46"/>
  <c r="R37" i="46"/>
  <c r="S37" i="46"/>
  <c r="T37" i="46"/>
  <c r="F9" i="3"/>
  <c r="G9" i="3"/>
  <c r="H9" i="3"/>
  <c r="I9" i="3"/>
  <c r="J9" i="3"/>
  <c r="K9" i="3"/>
  <c r="L9" i="3"/>
  <c r="M9" i="3"/>
  <c r="F10" i="3"/>
  <c r="G10" i="3"/>
  <c r="H10" i="3"/>
  <c r="I10" i="3"/>
  <c r="J10" i="3"/>
  <c r="K10" i="3"/>
  <c r="L10" i="3"/>
  <c r="M10" i="3"/>
  <c r="H11" i="3"/>
  <c r="I11" i="3"/>
  <c r="J11" i="3"/>
  <c r="K11" i="3"/>
  <c r="L11" i="3"/>
  <c r="M11"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B20" i="3"/>
  <c r="C20" i="3"/>
  <c r="D20" i="3"/>
  <c r="E20" i="3"/>
  <c r="F20" i="3"/>
  <c r="G20" i="3"/>
  <c r="H20" i="3"/>
  <c r="I20" i="3"/>
  <c r="J20" i="3"/>
  <c r="K20" i="3"/>
  <c r="L20" i="3"/>
  <c r="M20" i="3"/>
  <c r="I23" i="3"/>
  <c r="I24" i="3"/>
  <c r="H25" i="3"/>
  <c r="I25" i="3"/>
  <c r="J25" i="3"/>
  <c r="K25" i="3"/>
  <c r="L25" i="3"/>
  <c r="M25" i="3"/>
  <c r="I26" i="3"/>
  <c r="B27" i="3"/>
  <c r="C27" i="3"/>
  <c r="D27" i="3"/>
  <c r="E27" i="3"/>
  <c r="F27" i="3"/>
  <c r="G27" i="3"/>
  <c r="H27" i="3"/>
  <c r="I27" i="3"/>
  <c r="J27" i="3"/>
  <c r="K27" i="3"/>
  <c r="L27" i="3"/>
  <c r="M27" i="3"/>
  <c r="F30" i="3"/>
  <c r="G30" i="3"/>
  <c r="H30" i="3"/>
  <c r="I30" i="3"/>
  <c r="J30" i="3"/>
  <c r="K30" i="3"/>
  <c r="L30" i="3"/>
  <c r="M30" i="3"/>
  <c r="H31" i="3"/>
  <c r="I31" i="3"/>
  <c r="J31" i="3"/>
  <c r="K31" i="3"/>
  <c r="L31" i="3"/>
  <c r="M31" i="3"/>
  <c r="B32" i="3"/>
  <c r="C32" i="3"/>
  <c r="D32" i="3"/>
  <c r="E32" i="3"/>
  <c r="F32" i="3"/>
  <c r="G32" i="3"/>
  <c r="H32" i="3"/>
  <c r="I32" i="3"/>
  <c r="J32" i="3"/>
  <c r="K32" i="3"/>
  <c r="L32" i="3"/>
  <c r="M32" i="3"/>
  <c r="B34" i="3"/>
  <c r="C34" i="3"/>
  <c r="D34" i="3"/>
  <c r="E34" i="3"/>
  <c r="F34" i="3"/>
  <c r="G34" i="3"/>
  <c r="H34" i="3"/>
  <c r="I34" i="3"/>
  <c r="J34" i="3"/>
  <c r="K34" i="3"/>
  <c r="L34" i="3"/>
  <c r="M34" i="3"/>
  <c r="C36" i="3"/>
  <c r="D36" i="3"/>
  <c r="E36" i="3"/>
  <c r="F36" i="3"/>
  <c r="G36" i="3"/>
  <c r="H36" i="3"/>
  <c r="I36" i="3"/>
  <c r="J36" i="3"/>
  <c r="K36" i="3"/>
  <c r="L36" i="3"/>
  <c r="M36" i="3"/>
  <c r="B38" i="3"/>
  <c r="C38" i="3"/>
  <c r="D38" i="3"/>
  <c r="E38" i="3"/>
  <c r="F38" i="3"/>
  <c r="G38" i="3"/>
  <c r="H38" i="3"/>
  <c r="I38" i="3"/>
  <c r="J38" i="3"/>
  <c r="K38" i="3"/>
  <c r="L38" i="3"/>
  <c r="M38" i="3"/>
  <c r="F7" i="31"/>
  <c r="G7" i="31"/>
  <c r="H7" i="31"/>
  <c r="K7" i="31"/>
  <c r="L7" i="31"/>
  <c r="M7" i="31"/>
  <c r="P7" i="31"/>
  <c r="Q7" i="31"/>
  <c r="R7" i="31"/>
  <c r="T7" i="31"/>
  <c r="U7" i="31"/>
  <c r="AC7" i="31"/>
  <c r="F8" i="31"/>
  <c r="G8" i="31"/>
  <c r="H8" i="31"/>
  <c r="K8" i="31"/>
  <c r="L8" i="31"/>
  <c r="M8" i="31"/>
  <c r="P8" i="31"/>
  <c r="Q8" i="31"/>
  <c r="R8" i="31"/>
  <c r="T8" i="31"/>
  <c r="U8" i="31"/>
  <c r="AC8" i="31"/>
  <c r="F9" i="31"/>
  <c r="G9" i="31"/>
  <c r="H9" i="31"/>
  <c r="K9" i="31"/>
  <c r="L9" i="31"/>
  <c r="M9" i="31"/>
  <c r="P9" i="31"/>
  <c r="Q9" i="31"/>
  <c r="R9" i="31"/>
  <c r="T9" i="31"/>
  <c r="U9" i="31"/>
  <c r="AC9" i="31"/>
  <c r="F10" i="31"/>
  <c r="G10" i="31"/>
  <c r="H10" i="31"/>
  <c r="K10" i="31"/>
  <c r="L10" i="31"/>
  <c r="M10" i="31"/>
  <c r="P10" i="31"/>
  <c r="Q10" i="31"/>
  <c r="R10" i="31"/>
  <c r="T10" i="31"/>
  <c r="U10" i="31"/>
  <c r="AC10" i="31"/>
  <c r="F11" i="31"/>
  <c r="G11" i="31"/>
  <c r="H11" i="31"/>
  <c r="K11" i="31"/>
  <c r="L11" i="31"/>
  <c r="M11" i="31"/>
  <c r="P11" i="31"/>
  <c r="Q11" i="31"/>
  <c r="R11" i="31"/>
  <c r="T11" i="31"/>
  <c r="U11" i="31"/>
  <c r="AC11" i="31"/>
  <c r="H12" i="31"/>
  <c r="K12" i="31"/>
  <c r="L12" i="31"/>
  <c r="M12" i="31"/>
  <c r="P12" i="31"/>
  <c r="Q12" i="31"/>
  <c r="R12" i="31"/>
  <c r="T12" i="31"/>
  <c r="U12" i="31"/>
  <c r="H13" i="31"/>
  <c r="K13" i="31"/>
  <c r="L13" i="31"/>
  <c r="M13" i="31"/>
  <c r="P13" i="31"/>
  <c r="Q13" i="31"/>
  <c r="R13" i="31"/>
  <c r="T13" i="31"/>
  <c r="U13" i="31"/>
  <c r="F19" i="31"/>
  <c r="G19" i="31"/>
  <c r="H19" i="31"/>
  <c r="I19" i="31"/>
  <c r="K19" i="31"/>
  <c r="L19" i="31"/>
  <c r="M19" i="31"/>
  <c r="N19" i="31"/>
  <c r="P19" i="31"/>
  <c r="Q19" i="31"/>
  <c r="R19" i="31"/>
  <c r="T19" i="31"/>
  <c r="U19" i="31"/>
  <c r="X19" i="31"/>
  <c r="AA19" i="31"/>
  <c r="AC19" i="31"/>
  <c r="F20" i="31"/>
  <c r="G20" i="31"/>
  <c r="H20" i="31"/>
  <c r="I20" i="31"/>
  <c r="K20" i="31"/>
  <c r="L20" i="31"/>
  <c r="M20" i="31"/>
  <c r="N20" i="31"/>
  <c r="P20" i="31"/>
  <c r="Q20" i="31"/>
  <c r="R20" i="31"/>
  <c r="X20" i="31"/>
  <c r="AA20" i="31"/>
  <c r="AC20" i="31"/>
  <c r="F21" i="31"/>
  <c r="G21" i="31"/>
  <c r="H21" i="31"/>
  <c r="I21" i="31"/>
  <c r="K21" i="31"/>
  <c r="L21" i="31"/>
  <c r="M21" i="31"/>
  <c r="N21" i="31"/>
  <c r="P21" i="31"/>
  <c r="Q21" i="31"/>
  <c r="R21" i="31"/>
  <c r="T21" i="31"/>
  <c r="U21" i="31"/>
  <c r="X21" i="31"/>
  <c r="AA21" i="31"/>
  <c r="AC21" i="31"/>
  <c r="F22" i="31"/>
  <c r="G22" i="31"/>
  <c r="H22" i="31"/>
  <c r="I22" i="31"/>
  <c r="K22" i="31"/>
  <c r="L22" i="31"/>
  <c r="M22" i="31"/>
  <c r="N22" i="31"/>
  <c r="P22" i="31"/>
  <c r="Q22" i="31"/>
  <c r="R22" i="31"/>
  <c r="T22" i="31"/>
  <c r="U22" i="31"/>
  <c r="X22" i="31"/>
  <c r="AA22" i="31"/>
  <c r="AC22" i="31"/>
  <c r="F23" i="31"/>
  <c r="G23" i="31"/>
  <c r="H23" i="31"/>
  <c r="I23" i="31"/>
  <c r="K23" i="31"/>
  <c r="L23" i="31"/>
  <c r="M23" i="31"/>
  <c r="N23" i="31"/>
  <c r="P23" i="31"/>
  <c r="Q23" i="31"/>
  <c r="R23" i="31"/>
  <c r="T23" i="31"/>
  <c r="U23" i="31"/>
  <c r="X23" i="31"/>
  <c r="AA23" i="31"/>
  <c r="AC23" i="31"/>
  <c r="F24" i="31"/>
  <c r="G24" i="31"/>
  <c r="H24" i="31"/>
  <c r="I24" i="31"/>
  <c r="K24" i="31"/>
  <c r="L24" i="31"/>
  <c r="M24" i="31"/>
  <c r="N24" i="31"/>
  <c r="P24" i="31"/>
  <c r="Q24" i="31"/>
  <c r="R24" i="31"/>
  <c r="T24" i="31"/>
  <c r="U24" i="31"/>
  <c r="X24" i="31"/>
  <c r="AA24" i="31"/>
  <c r="AC24" i="31"/>
  <c r="F25" i="31"/>
  <c r="G25" i="31"/>
  <c r="H25" i="31"/>
  <c r="I25" i="31"/>
  <c r="J25" i="31"/>
  <c r="K25" i="31"/>
  <c r="L25" i="31"/>
  <c r="M25" i="31"/>
  <c r="N25" i="31"/>
  <c r="P25" i="31"/>
  <c r="Q25" i="31"/>
  <c r="R25" i="31"/>
  <c r="X25" i="31"/>
  <c r="Z25" i="31"/>
  <c r="AA25" i="31"/>
  <c r="H27" i="31"/>
  <c r="K27" i="31"/>
  <c r="L27" i="31"/>
  <c r="M27" i="31"/>
  <c r="N27" i="31"/>
  <c r="P27" i="31"/>
  <c r="Q27" i="31"/>
  <c r="R27" i="31"/>
  <c r="T27" i="31"/>
  <c r="U27" i="31"/>
  <c r="H28" i="31"/>
  <c r="K28" i="31"/>
  <c r="L28" i="31"/>
  <c r="M28" i="31"/>
  <c r="N28" i="31"/>
  <c r="P28" i="31"/>
  <c r="Q28" i="31"/>
  <c r="R28" i="31"/>
  <c r="T28" i="31"/>
  <c r="U28" i="31"/>
  <c r="K49" i="31"/>
  <c r="L49" i="31"/>
  <c r="K50" i="31"/>
  <c r="L50" i="31"/>
  <c r="K51" i="31"/>
  <c r="H58" i="31"/>
  <c r="K58" i="31"/>
  <c r="L58" i="31"/>
  <c r="K59" i="31"/>
  <c r="L59" i="31"/>
  <c r="K61" i="31"/>
  <c r="L61" i="31"/>
  <c r="K63" i="31"/>
  <c r="L63" i="31"/>
  <c r="K64" i="31"/>
  <c r="L64" i="31"/>
  <c r="A25" i="18"/>
  <c r="F4" i="16"/>
  <c r="H4" i="16"/>
  <c r="K4" i="16"/>
  <c r="L4" i="16"/>
  <c r="F6" i="16"/>
  <c r="K6" i="16"/>
  <c r="L6" i="16"/>
  <c r="F8" i="16"/>
  <c r="J8" i="16"/>
  <c r="L8" i="16"/>
  <c r="F10" i="16"/>
  <c r="H10" i="16"/>
  <c r="K10" i="16"/>
  <c r="L10" i="16"/>
  <c r="F12" i="16"/>
  <c r="K12" i="16"/>
  <c r="L12" i="16"/>
  <c r="D14" i="16"/>
  <c r="E14" i="16"/>
  <c r="F14" i="16"/>
  <c r="J14" i="16"/>
  <c r="K14" i="16"/>
  <c r="L14" i="16"/>
  <c r="E18" i="16"/>
  <c r="AC18" i="16"/>
  <c r="E19" i="16"/>
  <c r="E20" i="16"/>
  <c r="E21" i="16"/>
  <c r="G27" i="16"/>
  <c r="H27" i="16"/>
  <c r="I27" i="16"/>
  <c r="J27" i="16"/>
  <c r="K27" i="16"/>
  <c r="L27" i="16"/>
  <c r="M27" i="16"/>
  <c r="N27" i="16"/>
  <c r="O27" i="16"/>
  <c r="E29" i="16"/>
  <c r="F29" i="16"/>
  <c r="G29" i="16"/>
  <c r="H29" i="16"/>
  <c r="I29" i="16"/>
  <c r="J29" i="16"/>
  <c r="K29" i="16"/>
  <c r="L29" i="16"/>
  <c r="M29" i="16"/>
  <c r="N29" i="16"/>
  <c r="O29" i="16"/>
  <c r="P29" i="16"/>
  <c r="Q29" i="16"/>
  <c r="R29" i="16"/>
  <c r="S29" i="16"/>
  <c r="T29" i="16"/>
  <c r="E30" i="16"/>
  <c r="E31" i="16"/>
  <c r="F31" i="16"/>
  <c r="G31" i="16"/>
  <c r="H31" i="16"/>
  <c r="I31" i="16"/>
  <c r="J31" i="16"/>
  <c r="K31" i="16"/>
  <c r="L31" i="16"/>
  <c r="M31" i="16"/>
  <c r="N31" i="16"/>
  <c r="O31" i="16"/>
  <c r="P31" i="16"/>
  <c r="Q31" i="16"/>
  <c r="R31" i="16"/>
  <c r="S31" i="16"/>
  <c r="T31" i="16"/>
  <c r="E32" i="16"/>
  <c r="E33" i="16"/>
  <c r="F33" i="16"/>
  <c r="G33" i="16"/>
  <c r="H33" i="16"/>
  <c r="I33" i="16"/>
  <c r="J33" i="16"/>
  <c r="K33" i="16"/>
  <c r="L33" i="16"/>
  <c r="M33" i="16"/>
  <c r="N33" i="16"/>
  <c r="O33" i="16"/>
  <c r="P33" i="16"/>
  <c r="Q33" i="16"/>
  <c r="R33" i="16"/>
  <c r="S33" i="16"/>
  <c r="T33" i="16"/>
  <c r="E34" i="16"/>
  <c r="E35" i="16"/>
  <c r="F35" i="16"/>
  <c r="G35" i="16"/>
  <c r="H35" i="16"/>
  <c r="I35" i="16"/>
  <c r="J35" i="16"/>
  <c r="K35" i="16"/>
  <c r="L35" i="16"/>
  <c r="M35" i="16"/>
  <c r="N35" i="16"/>
  <c r="O35" i="16"/>
  <c r="P35" i="16"/>
  <c r="Q35" i="16"/>
  <c r="R35" i="16"/>
  <c r="S35" i="16"/>
  <c r="T35" i="16"/>
  <c r="E36" i="16"/>
  <c r="E37" i="16"/>
  <c r="F37" i="16"/>
  <c r="G37" i="16"/>
  <c r="H37" i="16"/>
  <c r="I37" i="16"/>
  <c r="J37" i="16"/>
  <c r="K37" i="16"/>
  <c r="L37" i="16"/>
  <c r="M37" i="16"/>
  <c r="N37" i="16"/>
  <c r="O37" i="16"/>
  <c r="P37" i="16"/>
  <c r="Q37" i="16"/>
  <c r="R37" i="16"/>
  <c r="S37" i="16"/>
  <c r="T37" i="16"/>
  <c r="E38" i="16"/>
  <c r="E39" i="16"/>
  <c r="F39" i="16"/>
  <c r="G39" i="16"/>
  <c r="H39" i="16"/>
  <c r="I39" i="16"/>
  <c r="J39" i="16"/>
  <c r="K39" i="16"/>
  <c r="L39" i="16"/>
  <c r="M39" i="16"/>
  <c r="N39" i="16"/>
  <c r="O39" i="16"/>
  <c r="P39" i="16"/>
  <c r="Q39" i="16"/>
  <c r="R39" i="16"/>
  <c r="S39" i="16"/>
  <c r="T39" i="16"/>
  <c r="F40" i="16"/>
  <c r="G40" i="16"/>
  <c r="H40" i="16"/>
  <c r="I40" i="16"/>
  <c r="J40" i="16"/>
  <c r="K40" i="16"/>
  <c r="L40" i="16"/>
  <c r="M40" i="16"/>
  <c r="N40" i="16"/>
  <c r="O40" i="16"/>
  <c r="P40" i="16"/>
  <c r="Q40" i="16"/>
  <c r="R40" i="16"/>
  <c r="S40" i="16"/>
  <c r="T40" i="16"/>
  <c r="E41" i="16"/>
  <c r="G41" i="16"/>
  <c r="H41" i="16"/>
  <c r="I41" i="16"/>
  <c r="J41" i="16"/>
  <c r="K41" i="16"/>
  <c r="L41" i="16"/>
  <c r="M41" i="16"/>
  <c r="N41" i="16"/>
  <c r="O41" i="16"/>
  <c r="P41" i="16"/>
  <c r="Q41" i="16"/>
  <c r="R41" i="16"/>
  <c r="S41" i="16"/>
  <c r="T41" i="16"/>
  <c r="E42" i="16"/>
  <c r="H42" i="16"/>
  <c r="I42" i="16"/>
  <c r="J42" i="16"/>
  <c r="K42" i="16"/>
  <c r="L42" i="16"/>
  <c r="M42" i="16"/>
  <c r="N42" i="16"/>
  <c r="O42" i="16"/>
  <c r="P42" i="16"/>
  <c r="Q42" i="16"/>
  <c r="R42" i="16"/>
  <c r="S42" i="16"/>
  <c r="T42" i="16"/>
  <c r="E43" i="16"/>
  <c r="I43" i="16"/>
  <c r="J43" i="16"/>
  <c r="K43" i="16"/>
  <c r="L43" i="16"/>
  <c r="M43" i="16"/>
  <c r="N43" i="16"/>
  <c r="O43" i="16"/>
  <c r="P43" i="16"/>
  <c r="Q43" i="16"/>
  <c r="R43" i="16"/>
  <c r="S43" i="16"/>
  <c r="T43" i="16"/>
  <c r="E44" i="16"/>
  <c r="J44" i="16"/>
  <c r="K44" i="16"/>
  <c r="L44" i="16"/>
  <c r="M44" i="16"/>
  <c r="N44" i="16"/>
  <c r="O44" i="16"/>
  <c r="P44" i="16"/>
  <c r="Q44" i="16"/>
  <c r="R44" i="16"/>
  <c r="S44" i="16"/>
  <c r="T44" i="16"/>
  <c r="E45" i="16"/>
  <c r="K45" i="16"/>
  <c r="L45" i="16"/>
  <c r="M45" i="16"/>
  <c r="N45" i="16"/>
  <c r="O45" i="16"/>
  <c r="P45" i="16"/>
  <c r="Q45" i="16"/>
  <c r="R45" i="16"/>
  <c r="S45" i="16"/>
  <c r="T45" i="16"/>
  <c r="E46" i="16"/>
  <c r="L46" i="16"/>
  <c r="M46" i="16"/>
  <c r="N46" i="16"/>
  <c r="O46" i="16"/>
  <c r="P46" i="16"/>
  <c r="Q46" i="16"/>
  <c r="R46" i="16"/>
  <c r="S46" i="16"/>
  <c r="T46" i="16"/>
  <c r="E47" i="16"/>
  <c r="M47" i="16"/>
  <c r="N47" i="16"/>
  <c r="O47" i="16"/>
  <c r="P47" i="16"/>
  <c r="Q47" i="16"/>
  <c r="R47" i="16"/>
  <c r="S47" i="16"/>
  <c r="T47" i="16"/>
  <c r="E48" i="16"/>
  <c r="N48" i="16"/>
  <c r="O48" i="16"/>
  <c r="P48" i="16"/>
  <c r="Q48" i="16"/>
  <c r="R48" i="16"/>
  <c r="S48" i="16"/>
  <c r="T48" i="16"/>
  <c r="E49" i="16"/>
  <c r="O49" i="16"/>
  <c r="P49" i="16"/>
  <c r="Q49" i="16"/>
  <c r="R49" i="16"/>
  <c r="S49" i="16"/>
  <c r="T49" i="16"/>
  <c r="E50" i="16"/>
  <c r="P50" i="16"/>
  <c r="Q50" i="16"/>
  <c r="R50" i="16"/>
  <c r="S50" i="16"/>
  <c r="T50" i="16"/>
  <c r="E52" i="16"/>
  <c r="F52" i="16"/>
  <c r="G52" i="16"/>
  <c r="H52" i="16"/>
  <c r="I52" i="16"/>
  <c r="J52" i="16"/>
  <c r="K52" i="16"/>
  <c r="L52" i="16"/>
  <c r="M52" i="16"/>
  <c r="N52" i="16"/>
  <c r="O52" i="16"/>
  <c r="P52" i="16"/>
  <c r="Q52" i="16"/>
  <c r="R52" i="16"/>
  <c r="S52" i="16"/>
  <c r="T52" i="16"/>
  <c r="A56" i="16"/>
  <c r="E56" i="16"/>
  <c r="F56" i="16"/>
  <c r="G56" i="16"/>
  <c r="H56" i="16"/>
  <c r="I56" i="16"/>
  <c r="J56" i="16"/>
  <c r="K56" i="16"/>
  <c r="L56" i="16"/>
  <c r="M56" i="16"/>
  <c r="N56" i="16"/>
  <c r="O56" i="16"/>
  <c r="P56" i="16"/>
  <c r="Q56" i="16"/>
  <c r="R56" i="16"/>
  <c r="S56" i="16"/>
  <c r="T56" i="16"/>
  <c r="E57" i="16"/>
  <c r="A58" i="16"/>
  <c r="E58" i="16"/>
  <c r="F58" i="16"/>
  <c r="G58" i="16"/>
  <c r="H58" i="16"/>
  <c r="I58" i="16"/>
  <c r="J58" i="16"/>
  <c r="K58" i="16"/>
  <c r="L58" i="16"/>
  <c r="M58" i="16"/>
  <c r="N58" i="16"/>
  <c r="O58" i="16"/>
  <c r="P58" i="16"/>
  <c r="Q58" i="16"/>
  <c r="R58" i="16"/>
  <c r="S58" i="16"/>
  <c r="T58" i="16"/>
  <c r="E59" i="16"/>
  <c r="A60" i="16"/>
  <c r="E60" i="16"/>
  <c r="F60" i="16"/>
  <c r="G60" i="16"/>
  <c r="H60" i="16"/>
  <c r="I60" i="16"/>
  <c r="J60" i="16"/>
  <c r="K60" i="16"/>
  <c r="L60" i="16"/>
  <c r="M60" i="16"/>
  <c r="N60" i="16"/>
  <c r="O60" i="16"/>
  <c r="P60" i="16"/>
  <c r="Q60" i="16"/>
  <c r="R60" i="16"/>
  <c r="S60" i="16"/>
  <c r="T60" i="16"/>
  <c r="E61" i="16"/>
  <c r="A62" i="16"/>
  <c r="E62" i="16"/>
  <c r="F62" i="16"/>
  <c r="G62" i="16"/>
  <c r="H62" i="16"/>
  <c r="I62" i="16"/>
  <c r="J62" i="16"/>
  <c r="K62" i="16"/>
  <c r="L62" i="16"/>
  <c r="M62" i="16"/>
  <c r="N62" i="16"/>
  <c r="O62" i="16"/>
  <c r="P62" i="16"/>
  <c r="Q62" i="16"/>
  <c r="R62" i="16"/>
  <c r="S62" i="16"/>
  <c r="T62" i="16"/>
  <c r="E63" i="16"/>
  <c r="A64" i="16"/>
  <c r="E64" i="16"/>
  <c r="F64" i="16"/>
  <c r="G64" i="16"/>
  <c r="H64" i="16"/>
  <c r="I64" i="16"/>
  <c r="J64" i="16"/>
  <c r="K64" i="16"/>
  <c r="L64" i="16"/>
  <c r="M64" i="16"/>
  <c r="N64" i="16"/>
  <c r="O64" i="16"/>
  <c r="P64" i="16"/>
  <c r="Q64" i="16"/>
  <c r="R64" i="16"/>
  <c r="S64" i="16"/>
  <c r="T64" i="16"/>
  <c r="E65" i="16"/>
  <c r="A66" i="16"/>
  <c r="E66" i="16"/>
  <c r="F66" i="16"/>
  <c r="G66" i="16"/>
  <c r="H66" i="16"/>
  <c r="I66" i="16"/>
  <c r="J66" i="16"/>
  <c r="K66" i="16"/>
  <c r="L66" i="16"/>
  <c r="M66" i="16"/>
  <c r="N66" i="16"/>
  <c r="O66" i="16"/>
  <c r="P66" i="16"/>
  <c r="Q66" i="16"/>
  <c r="R66" i="16"/>
  <c r="S66" i="16"/>
  <c r="T66" i="16"/>
  <c r="A68" i="16"/>
  <c r="E68" i="16"/>
  <c r="F68" i="16"/>
  <c r="G68" i="16"/>
  <c r="H68" i="16"/>
  <c r="I68" i="16"/>
  <c r="J68" i="16"/>
  <c r="K68" i="16"/>
  <c r="L68" i="16"/>
  <c r="M68" i="16"/>
  <c r="N68" i="16"/>
  <c r="O68" i="16"/>
  <c r="P68" i="16"/>
  <c r="Q68" i="16"/>
  <c r="R68" i="16"/>
  <c r="S68" i="16"/>
  <c r="T68" i="16"/>
  <c r="E69" i="16"/>
  <c r="G72" i="16"/>
  <c r="H72" i="16"/>
  <c r="I72" i="16"/>
  <c r="J72" i="16"/>
  <c r="K72" i="16"/>
  <c r="L72" i="16"/>
  <c r="M72" i="16"/>
  <c r="N72" i="16"/>
  <c r="O72" i="16"/>
  <c r="P72" i="16"/>
  <c r="Q72" i="16"/>
  <c r="R72" i="16"/>
  <c r="S72" i="16"/>
  <c r="T72" i="16"/>
  <c r="F73" i="16"/>
  <c r="G73" i="16"/>
  <c r="H73" i="16"/>
  <c r="I73" i="16"/>
  <c r="J73" i="16"/>
  <c r="K73" i="16"/>
  <c r="L73" i="16"/>
  <c r="M73" i="16"/>
  <c r="N73" i="16"/>
  <c r="O73" i="16"/>
  <c r="P73" i="16"/>
  <c r="Q73" i="16"/>
  <c r="R73" i="16"/>
  <c r="S73" i="16"/>
  <c r="T73" i="16"/>
  <c r="Q74" i="16"/>
  <c r="R74" i="16"/>
  <c r="S74" i="16"/>
  <c r="T74" i="16"/>
  <c r="E77" i="16"/>
  <c r="F77" i="16"/>
  <c r="G77" i="16"/>
  <c r="H77" i="16"/>
  <c r="I77" i="16"/>
  <c r="J77" i="16"/>
  <c r="K77" i="16"/>
  <c r="L77" i="16"/>
  <c r="M77" i="16"/>
  <c r="N77" i="16"/>
  <c r="O77" i="16"/>
  <c r="P77" i="16"/>
  <c r="Q77" i="16"/>
  <c r="R77" i="16"/>
  <c r="S77" i="16"/>
  <c r="T77" i="16"/>
  <c r="E78" i="16"/>
  <c r="E79" i="16"/>
  <c r="F79" i="16"/>
  <c r="G79" i="16"/>
  <c r="H79" i="16"/>
  <c r="I79" i="16"/>
  <c r="J79" i="16"/>
  <c r="K79" i="16"/>
  <c r="L79" i="16"/>
  <c r="M79" i="16"/>
  <c r="N79" i="16"/>
  <c r="O79" i="16"/>
  <c r="P79" i="16"/>
  <c r="Q79" i="16"/>
  <c r="R79" i="16"/>
  <c r="S79" i="16"/>
  <c r="T79" i="16"/>
  <c r="E80" i="16"/>
  <c r="E81" i="16"/>
  <c r="F81" i="16"/>
  <c r="G81" i="16"/>
  <c r="H81" i="16"/>
  <c r="I81" i="16"/>
  <c r="J81" i="16"/>
  <c r="K81" i="16"/>
  <c r="L81" i="16"/>
  <c r="M81" i="16"/>
  <c r="N81" i="16"/>
  <c r="O81" i="16"/>
  <c r="P81" i="16"/>
  <c r="Q81" i="16"/>
  <c r="R81" i="16"/>
  <c r="S81" i="16"/>
  <c r="T81" i="16"/>
  <c r="E82" i="16"/>
  <c r="E83" i="16"/>
  <c r="F83" i="16"/>
  <c r="G83" i="16"/>
  <c r="H83" i="16"/>
  <c r="I83" i="16"/>
  <c r="J83" i="16"/>
  <c r="K83" i="16"/>
  <c r="L83" i="16"/>
  <c r="M83" i="16"/>
  <c r="N83" i="16"/>
  <c r="O83" i="16"/>
  <c r="P83" i="16"/>
  <c r="Q83" i="16"/>
  <c r="R83" i="16"/>
  <c r="S83" i="16"/>
  <c r="T83" i="16"/>
  <c r="E84" i="16"/>
  <c r="E85" i="16"/>
  <c r="F85" i="16"/>
  <c r="G85" i="16"/>
  <c r="H85" i="16"/>
  <c r="I85" i="16"/>
  <c r="J85" i="16"/>
  <c r="K85" i="16"/>
  <c r="L85" i="16"/>
  <c r="M85" i="16"/>
  <c r="N85" i="16"/>
  <c r="O85" i="16"/>
  <c r="P85" i="16"/>
  <c r="Q85" i="16"/>
  <c r="R85" i="16"/>
  <c r="S85" i="16"/>
  <c r="T85" i="16"/>
  <c r="E86" i="16"/>
  <c r="E87" i="16"/>
  <c r="F87" i="16"/>
  <c r="G87" i="16"/>
  <c r="H87" i="16"/>
  <c r="I87" i="16"/>
  <c r="J87" i="16"/>
  <c r="K87" i="16"/>
  <c r="L87" i="16"/>
  <c r="M87" i="16"/>
  <c r="N87" i="16"/>
  <c r="O87" i="16"/>
  <c r="P87" i="16"/>
  <c r="Q87" i="16"/>
  <c r="R87" i="16"/>
  <c r="S87" i="16"/>
  <c r="T87" i="16"/>
  <c r="F88" i="16"/>
  <c r="G88" i="16"/>
  <c r="H88" i="16"/>
  <c r="I88" i="16"/>
  <c r="J88" i="16"/>
  <c r="K88" i="16"/>
  <c r="L88" i="16"/>
  <c r="M88" i="16"/>
  <c r="N88" i="16"/>
  <c r="O88" i="16"/>
  <c r="P88" i="16"/>
  <c r="Q88" i="16"/>
  <c r="R88" i="16"/>
  <c r="S88" i="16"/>
  <c r="T88" i="16"/>
  <c r="E89" i="16"/>
  <c r="G89" i="16"/>
  <c r="H89" i="16"/>
  <c r="I89" i="16"/>
  <c r="J89" i="16"/>
  <c r="K89" i="16"/>
  <c r="L89" i="16"/>
  <c r="M89" i="16"/>
  <c r="N89" i="16"/>
  <c r="O89" i="16"/>
  <c r="P89" i="16"/>
  <c r="Q89" i="16"/>
  <c r="R89" i="16"/>
  <c r="S89" i="16"/>
  <c r="T89" i="16"/>
  <c r="E90" i="16"/>
  <c r="H90" i="16"/>
  <c r="I90" i="16"/>
  <c r="J90" i="16"/>
  <c r="K90" i="16"/>
  <c r="L90" i="16"/>
  <c r="M90" i="16"/>
  <c r="N90" i="16"/>
  <c r="O90" i="16"/>
  <c r="P90" i="16"/>
  <c r="Q90" i="16"/>
  <c r="R90" i="16"/>
  <c r="S90" i="16"/>
  <c r="T90" i="16"/>
  <c r="E91" i="16"/>
  <c r="I91" i="16"/>
  <c r="J91" i="16"/>
  <c r="K91" i="16"/>
  <c r="L91" i="16"/>
  <c r="M91" i="16"/>
  <c r="N91" i="16"/>
  <c r="O91" i="16"/>
  <c r="P91" i="16"/>
  <c r="Q91" i="16"/>
  <c r="R91" i="16"/>
  <c r="S91" i="16"/>
  <c r="T91" i="16"/>
  <c r="E92" i="16"/>
  <c r="J92" i="16"/>
  <c r="K92" i="16"/>
  <c r="L92" i="16"/>
  <c r="M92" i="16"/>
  <c r="N92" i="16"/>
  <c r="O92" i="16"/>
  <c r="P92" i="16"/>
  <c r="Q92" i="16"/>
  <c r="R92" i="16"/>
  <c r="S92" i="16"/>
  <c r="T92" i="16"/>
  <c r="E93" i="16"/>
  <c r="K93" i="16"/>
  <c r="L93" i="16"/>
  <c r="M93" i="16"/>
  <c r="N93" i="16"/>
  <c r="O93" i="16"/>
  <c r="P93" i="16"/>
  <c r="Q93" i="16"/>
  <c r="R93" i="16"/>
  <c r="S93" i="16"/>
  <c r="T93" i="16"/>
  <c r="E94" i="16"/>
  <c r="L94" i="16"/>
  <c r="M94" i="16"/>
  <c r="N94" i="16"/>
  <c r="O94" i="16"/>
  <c r="P94" i="16"/>
  <c r="Q94" i="16"/>
  <c r="R94" i="16"/>
  <c r="S94" i="16"/>
  <c r="T94" i="16"/>
  <c r="E95" i="16"/>
  <c r="M95" i="16"/>
  <c r="N95" i="16"/>
  <c r="O95" i="16"/>
  <c r="P95" i="16"/>
  <c r="Q95" i="16"/>
  <c r="R95" i="16"/>
  <c r="S95" i="16"/>
  <c r="T95" i="16"/>
  <c r="E96" i="16"/>
  <c r="N96" i="16"/>
  <c r="O96" i="16"/>
  <c r="P96" i="16"/>
  <c r="Q96" i="16"/>
  <c r="R96" i="16"/>
  <c r="S96" i="16"/>
  <c r="T96" i="16"/>
  <c r="E97" i="16"/>
  <c r="O97" i="16"/>
  <c r="P97" i="16"/>
  <c r="Q97" i="16"/>
  <c r="R97" i="16"/>
  <c r="S97" i="16"/>
  <c r="T97" i="16"/>
  <c r="E98" i="16"/>
  <c r="P98" i="16"/>
  <c r="Q98" i="16"/>
  <c r="R98" i="16"/>
  <c r="S98" i="16"/>
  <c r="T98" i="16"/>
  <c r="E101" i="16"/>
  <c r="F101" i="16"/>
  <c r="G101" i="16"/>
  <c r="H101" i="16"/>
  <c r="I101" i="16"/>
  <c r="J101" i="16"/>
  <c r="K101" i="16"/>
  <c r="L101" i="16"/>
  <c r="M101" i="16"/>
  <c r="N101" i="16"/>
  <c r="O101" i="16"/>
  <c r="P101" i="16"/>
  <c r="Q101" i="16"/>
  <c r="R101" i="16"/>
  <c r="S101" i="16"/>
  <c r="T101" i="16"/>
  <c r="F103" i="16"/>
  <c r="G103" i="16"/>
  <c r="H103" i="16"/>
  <c r="I103" i="16"/>
  <c r="J103" i="16"/>
  <c r="K103" i="16"/>
  <c r="L103" i="16"/>
  <c r="M103" i="16"/>
  <c r="N103" i="16"/>
  <c r="O103" i="16"/>
  <c r="P103" i="16"/>
  <c r="Q103" i="16"/>
  <c r="R103" i="16"/>
  <c r="S103" i="16"/>
  <c r="T103" i="16"/>
  <c r="F105" i="16"/>
  <c r="G105" i="16"/>
  <c r="H105" i="16"/>
  <c r="I105" i="16"/>
  <c r="J105" i="16"/>
  <c r="K105" i="16"/>
  <c r="L105" i="16"/>
  <c r="M105" i="16"/>
  <c r="N105" i="16"/>
  <c r="O105" i="16"/>
  <c r="P105" i="16"/>
  <c r="Q105" i="16"/>
  <c r="R105" i="16"/>
  <c r="S105" i="16"/>
  <c r="T105" i="16"/>
  <c r="F106" i="16"/>
  <c r="G106" i="16"/>
  <c r="H106" i="16"/>
  <c r="I106" i="16"/>
  <c r="J106" i="16"/>
  <c r="K106" i="16"/>
  <c r="L106" i="16"/>
  <c r="M106" i="16"/>
  <c r="N106" i="16"/>
  <c r="O106" i="16"/>
  <c r="P106" i="16"/>
  <c r="Q106" i="16"/>
  <c r="R106" i="16"/>
  <c r="S106" i="16"/>
  <c r="T106" i="16"/>
  <c r="E107" i="16"/>
  <c r="E108" i="16"/>
  <c r="F110" i="16"/>
  <c r="G110" i="16"/>
  <c r="H110" i="16"/>
  <c r="I110" i="16"/>
  <c r="J110" i="16"/>
  <c r="K110" i="16"/>
  <c r="L110" i="16"/>
  <c r="M110" i="16"/>
  <c r="N110" i="16"/>
  <c r="O110" i="16"/>
  <c r="P110" i="16"/>
  <c r="F111" i="16"/>
  <c r="G111" i="16"/>
  <c r="H111" i="16"/>
  <c r="I111" i="16"/>
  <c r="J111" i="16"/>
  <c r="K111" i="16"/>
  <c r="L111" i="16"/>
  <c r="M111" i="16"/>
  <c r="N111" i="16"/>
  <c r="O111" i="16"/>
  <c r="P111" i="16"/>
  <c r="F112" i="16"/>
  <c r="G112" i="16"/>
  <c r="H112" i="16"/>
  <c r="I112" i="16"/>
  <c r="J112" i="16"/>
  <c r="K112" i="16"/>
  <c r="L112" i="16"/>
  <c r="M112" i="16"/>
  <c r="N112" i="16"/>
  <c r="O112" i="16"/>
  <c r="P112" i="16"/>
  <c r="F113" i="16"/>
  <c r="G113" i="16"/>
  <c r="H113" i="16"/>
  <c r="I113" i="16"/>
  <c r="J113" i="16"/>
  <c r="K113" i="16"/>
  <c r="L113" i="16"/>
  <c r="M113" i="16"/>
  <c r="N113" i="16"/>
  <c r="O113" i="16"/>
  <c r="P113" i="16"/>
  <c r="F115" i="16"/>
  <c r="G115" i="16"/>
  <c r="H115" i="16"/>
  <c r="I115" i="16"/>
  <c r="J115" i="16"/>
  <c r="K115" i="16"/>
  <c r="L115" i="16"/>
  <c r="M115" i="16"/>
  <c r="N115" i="16"/>
  <c r="O115" i="16"/>
  <c r="P115" i="16"/>
  <c r="F116" i="16"/>
  <c r="G116" i="16"/>
  <c r="H116" i="16"/>
  <c r="I116" i="16"/>
  <c r="J116" i="16"/>
  <c r="K116" i="16"/>
  <c r="L116" i="16"/>
  <c r="M116" i="16"/>
  <c r="N116" i="16"/>
  <c r="O116" i="16"/>
  <c r="P116" i="16"/>
  <c r="F117" i="16"/>
  <c r="G117" i="16"/>
  <c r="H117" i="16"/>
  <c r="I117" i="16"/>
  <c r="J117" i="16"/>
  <c r="K117" i="16"/>
  <c r="L117" i="16"/>
  <c r="M117" i="16"/>
  <c r="N117" i="16"/>
  <c r="O117" i="16"/>
  <c r="P117" i="16"/>
  <c r="F118" i="16"/>
  <c r="G118" i="16"/>
  <c r="H118" i="16"/>
  <c r="I118" i="16"/>
  <c r="J118" i="16"/>
  <c r="K118" i="16"/>
  <c r="L118" i="16"/>
  <c r="M118" i="16"/>
  <c r="N118" i="16"/>
  <c r="O118" i="16"/>
  <c r="P118" i="16"/>
  <c r="F120" i="16"/>
  <c r="G120" i="16"/>
  <c r="H120" i="16"/>
  <c r="I120" i="16"/>
  <c r="J120" i="16"/>
  <c r="K120" i="16"/>
  <c r="L120" i="16"/>
  <c r="M120" i="16"/>
  <c r="N120" i="16"/>
  <c r="O120" i="16"/>
  <c r="P120" i="16"/>
  <c r="F121" i="16"/>
  <c r="G121" i="16"/>
  <c r="H121" i="16"/>
  <c r="I121" i="16"/>
  <c r="J121" i="16"/>
  <c r="K121" i="16"/>
  <c r="L121" i="16"/>
  <c r="M121" i="16"/>
  <c r="N121" i="16"/>
  <c r="O121" i="16"/>
  <c r="P121" i="16"/>
  <c r="F122" i="16"/>
  <c r="G122" i="16"/>
  <c r="H122" i="16"/>
  <c r="I122" i="16"/>
  <c r="J122" i="16"/>
  <c r="K122" i="16"/>
  <c r="L122" i="16"/>
  <c r="M122" i="16"/>
  <c r="N122" i="16"/>
  <c r="O122" i="16"/>
  <c r="P122" i="16"/>
  <c r="F123" i="16"/>
  <c r="G123" i="16"/>
  <c r="H123" i="16"/>
  <c r="I123" i="16"/>
  <c r="J123" i="16"/>
  <c r="K123" i="16"/>
  <c r="L123" i="16"/>
  <c r="M123" i="16"/>
  <c r="N123" i="16"/>
  <c r="O123" i="16"/>
  <c r="P123" i="16"/>
  <c r="D10" i="60"/>
  <c r="E10" i="60"/>
  <c r="F10" i="60"/>
  <c r="G10" i="60"/>
  <c r="H10" i="60"/>
  <c r="I10" i="60"/>
  <c r="J10" i="60"/>
  <c r="K10" i="60"/>
  <c r="L10" i="60"/>
  <c r="M10" i="60"/>
  <c r="N10" i="60"/>
  <c r="D11" i="60"/>
  <c r="E11" i="60"/>
  <c r="F11" i="60"/>
  <c r="G11" i="60"/>
  <c r="H11" i="60"/>
  <c r="I11" i="60"/>
  <c r="J11" i="60"/>
  <c r="K11" i="60"/>
  <c r="L11" i="60"/>
  <c r="M11" i="60"/>
  <c r="N11" i="60"/>
  <c r="D12" i="60"/>
  <c r="E12" i="60"/>
  <c r="F12" i="60"/>
  <c r="G12" i="60"/>
  <c r="H12" i="60"/>
  <c r="I12" i="60"/>
  <c r="J12" i="60"/>
  <c r="K12" i="60"/>
  <c r="L12" i="60"/>
  <c r="M12" i="60"/>
  <c r="N12" i="60"/>
  <c r="D13" i="60"/>
  <c r="E13" i="60"/>
  <c r="F13" i="60"/>
  <c r="G13" i="60"/>
  <c r="H13" i="60"/>
  <c r="I13" i="60"/>
  <c r="J13" i="60"/>
  <c r="K13" i="60"/>
  <c r="L13" i="60"/>
  <c r="M13" i="60"/>
  <c r="N13" i="60"/>
  <c r="D17" i="60"/>
  <c r="E17" i="60"/>
  <c r="F17" i="60"/>
  <c r="G17" i="60"/>
  <c r="H17" i="60"/>
  <c r="I17" i="60"/>
  <c r="J17" i="60"/>
  <c r="K17" i="60"/>
  <c r="L17" i="60"/>
  <c r="M17" i="60"/>
  <c r="N17" i="60"/>
  <c r="D18" i="60"/>
  <c r="E18" i="60"/>
  <c r="F18" i="60"/>
  <c r="G18" i="60"/>
  <c r="H18" i="60"/>
  <c r="I18" i="60"/>
  <c r="J18" i="60"/>
  <c r="K18" i="60"/>
  <c r="L18" i="60"/>
  <c r="M18" i="60"/>
  <c r="N18" i="60"/>
  <c r="D19" i="60"/>
  <c r="E19" i="60"/>
  <c r="F19" i="60"/>
  <c r="G19" i="60"/>
  <c r="H19" i="60"/>
  <c r="I19" i="60"/>
  <c r="J19" i="60"/>
  <c r="K19" i="60"/>
  <c r="L19" i="60"/>
  <c r="M19" i="60"/>
  <c r="N19" i="60"/>
  <c r="D20" i="60"/>
  <c r="E20" i="60"/>
  <c r="F20" i="60"/>
  <c r="G20" i="60"/>
  <c r="H20" i="60"/>
  <c r="I20" i="60"/>
  <c r="J20" i="60"/>
  <c r="K20" i="60"/>
  <c r="L20" i="60"/>
  <c r="M20" i="60"/>
  <c r="N20" i="60"/>
  <c r="D22" i="60"/>
  <c r="E22" i="60"/>
  <c r="F22" i="60"/>
  <c r="G22" i="60"/>
  <c r="H22" i="60"/>
  <c r="I22" i="60"/>
  <c r="J22" i="60"/>
  <c r="K22" i="60"/>
  <c r="L22" i="60"/>
  <c r="M22" i="60"/>
  <c r="N22" i="60"/>
  <c r="D23" i="60"/>
  <c r="E23" i="60"/>
  <c r="F23" i="60"/>
  <c r="G23" i="60"/>
  <c r="H23" i="60"/>
  <c r="I23" i="60"/>
  <c r="J23" i="60"/>
  <c r="K23" i="60"/>
  <c r="L23" i="60"/>
  <c r="M23" i="60"/>
  <c r="N23" i="60"/>
  <c r="D24" i="60"/>
  <c r="E24" i="60"/>
  <c r="F24" i="60"/>
  <c r="G24" i="60"/>
  <c r="H24" i="60"/>
  <c r="I24" i="60"/>
  <c r="J24" i="60"/>
  <c r="K24" i="60"/>
  <c r="L24" i="60"/>
  <c r="M24" i="60"/>
  <c r="N24" i="60"/>
  <c r="D25" i="60"/>
  <c r="E25" i="60"/>
  <c r="F25" i="60"/>
  <c r="G25" i="60"/>
  <c r="H25" i="60"/>
  <c r="I25" i="60"/>
  <c r="J25" i="60"/>
  <c r="K25" i="60"/>
  <c r="L25" i="60"/>
  <c r="M25" i="60"/>
  <c r="N25" i="60"/>
  <c r="D9" i="58"/>
  <c r="E9" i="58"/>
  <c r="F9" i="58"/>
  <c r="G9" i="58"/>
  <c r="H9" i="58"/>
  <c r="I9" i="58"/>
  <c r="J9" i="58"/>
  <c r="K9" i="58"/>
  <c r="L9" i="58"/>
  <c r="M9" i="58"/>
  <c r="N9" i="58"/>
  <c r="D10" i="58"/>
  <c r="E10" i="58"/>
  <c r="F10" i="58"/>
  <c r="G10" i="58"/>
  <c r="H10" i="58"/>
  <c r="I10" i="58"/>
  <c r="J10" i="58"/>
  <c r="K10" i="58"/>
  <c r="L10" i="58"/>
  <c r="M10" i="58"/>
  <c r="N10" i="58"/>
  <c r="D11" i="58"/>
  <c r="E11" i="58"/>
  <c r="F11" i="58"/>
  <c r="G11" i="58"/>
  <c r="H11" i="58"/>
  <c r="I11" i="58"/>
  <c r="J11" i="58"/>
  <c r="K11" i="58"/>
  <c r="L11" i="58"/>
  <c r="M11" i="58"/>
  <c r="N11" i="58"/>
  <c r="D12" i="58"/>
  <c r="E12" i="58"/>
  <c r="F12" i="58"/>
  <c r="G12" i="58"/>
  <c r="H12" i="58"/>
  <c r="I12" i="58"/>
  <c r="J12" i="58"/>
  <c r="K12" i="58"/>
  <c r="L12" i="58"/>
  <c r="M12" i="58"/>
  <c r="N12" i="58"/>
  <c r="D16" i="58"/>
  <c r="E16" i="58"/>
  <c r="F16" i="58"/>
  <c r="G16" i="58"/>
  <c r="H16" i="58"/>
  <c r="I16" i="58"/>
  <c r="J16" i="58"/>
  <c r="K16" i="58"/>
  <c r="L16" i="58"/>
  <c r="M16" i="58"/>
  <c r="N16" i="58"/>
  <c r="D17" i="58"/>
  <c r="E17" i="58"/>
  <c r="F17" i="58"/>
  <c r="G17" i="58"/>
  <c r="H17" i="58"/>
  <c r="I17" i="58"/>
  <c r="J17" i="58"/>
  <c r="K17" i="58"/>
  <c r="L17" i="58"/>
  <c r="M17" i="58"/>
  <c r="N17" i="58"/>
  <c r="D18" i="58"/>
  <c r="E18" i="58"/>
  <c r="F18" i="58"/>
  <c r="G18" i="58"/>
  <c r="H18" i="58"/>
  <c r="I18" i="58"/>
  <c r="J18" i="58"/>
  <c r="K18" i="58"/>
  <c r="L18" i="58"/>
  <c r="M18" i="58"/>
  <c r="N18" i="58"/>
  <c r="D19" i="58"/>
  <c r="E19" i="58"/>
  <c r="F19" i="58"/>
  <c r="G19" i="58"/>
  <c r="H19" i="58"/>
  <c r="I19" i="58"/>
  <c r="J19" i="58"/>
  <c r="K19" i="58"/>
  <c r="L19" i="58"/>
  <c r="M19" i="58"/>
  <c r="N19" i="58"/>
  <c r="D21" i="58"/>
  <c r="E21" i="58"/>
  <c r="F21" i="58"/>
  <c r="G21" i="58"/>
  <c r="H21" i="58"/>
  <c r="I21" i="58"/>
  <c r="J21" i="58"/>
  <c r="K21" i="58"/>
  <c r="L21" i="58"/>
  <c r="M21" i="58"/>
  <c r="N21" i="58"/>
  <c r="D22" i="58"/>
  <c r="E22" i="58"/>
  <c r="F22" i="58"/>
  <c r="G22" i="58"/>
  <c r="H22" i="58"/>
  <c r="I22" i="58"/>
  <c r="J22" i="58"/>
  <c r="K22" i="58"/>
  <c r="L22" i="58"/>
  <c r="M22" i="58"/>
  <c r="N22" i="58"/>
  <c r="D23" i="58"/>
  <c r="E23" i="58"/>
  <c r="F23" i="58"/>
  <c r="G23" i="58"/>
  <c r="H23" i="58"/>
  <c r="I23" i="58"/>
  <c r="J23" i="58"/>
  <c r="K23" i="58"/>
  <c r="L23" i="58"/>
  <c r="M23" i="58"/>
  <c r="N23" i="58"/>
  <c r="D24" i="58"/>
  <c r="E24" i="58"/>
  <c r="F24" i="58"/>
  <c r="G24" i="58"/>
  <c r="H24" i="58"/>
  <c r="I24" i="58"/>
  <c r="J24" i="58"/>
  <c r="K24" i="58"/>
  <c r="L24" i="58"/>
  <c r="M24" i="58"/>
  <c r="N24" i="58"/>
  <c r="D10" i="59"/>
  <c r="E10" i="59"/>
  <c r="F10" i="59"/>
  <c r="G10" i="59"/>
  <c r="H10" i="59"/>
  <c r="I10" i="59"/>
  <c r="J10" i="59"/>
  <c r="K10" i="59"/>
  <c r="L10" i="59"/>
  <c r="M10" i="59"/>
  <c r="N10" i="59"/>
  <c r="D12" i="59"/>
  <c r="E12" i="59"/>
  <c r="F12" i="59"/>
  <c r="G12" i="59"/>
  <c r="H12" i="59"/>
  <c r="I12" i="59"/>
  <c r="J12" i="59"/>
  <c r="K12" i="59"/>
  <c r="L12" i="59"/>
  <c r="M12" i="59"/>
  <c r="N12" i="59"/>
  <c r="D13" i="59"/>
  <c r="E13" i="59"/>
  <c r="F13" i="59"/>
  <c r="G13" i="59"/>
  <c r="H13" i="59"/>
  <c r="I13" i="59"/>
  <c r="J13" i="59"/>
  <c r="K13" i="59"/>
  <c r="L13" i="59"/>
  <c r="M13" i="59"/>
  <c r="N13" i="59"/>
  <c r="D17" i="59"/>
  <c r="E17" i="59"/>
  <c r="F17" i="59"/>
  <c r="G17" i="59"/>
  <c r="H17" i="59"/>
  <c r="I17" i="59"/>
  <c r="J17" i="59"/>
  <c r="K17" i="59"/>
  <c r="L17" i="59"/>
  <c r="M17" i="59"/>
  <c r="N17" i="59"/>
  <c r="D18" i="59"/>
  <c r="E18" i="59"/>
  <c r="F18" i="59"/>
  <c r="G18" i="59"/>
  <c r="H18" i="59"/>
  <c r="I18" i="59"/>
  <c r="J18" i="59"/>
  <c r="K18" i="59"/>
  <c r="L18" i="59"/>
  <c r="M18" i="59"/>
  <c r="N18" i="59"/>
  <c r="D19" i="59"/>
  <c r="E19" i="59"/>
  <c r="F19" i="59"/>
  <c r="G19" i="59"/>
  <c r="H19" i="59"/>
  <c r="I19" i="59"/>
  <c r="J19" i="59"/>
  <c r="K19" i="59"/>
  <c r="L19" i="59"/>
  <c r="M19" i="59"/>
  <c r="N19" i="59"/>
  <c r="D20" i="59"/>
  <c r="E20" i="59"/>
  <c r="F20" i="59"/>
  <c r="G20" i="59"/>
  <c r="H20" i="59"/>
  <c r="I20" i="59"/>
  <c r="J20" i="59"/>
  <c r="K20" i="59"/>
  <c r="L20" i="59"/>
  <c r="M20" i="59"/>
  <c r="N20" i="59"/>
  <c r="D22" i="59"/>
  <c r="E22" i="59"/>
  <c r="F22" i="59"/>
  <c r="G22" i="59"/>
  <c r="H22" i="59"/>
  <c r="I22" i="59"/>
  <c r="J22" i="59"/>
  <c r="K22" i="59"/>
  <c r="L22" i="59"/>
  <c r="M22" i="59"/>
  <c r="N22" i="59"/>
  <c r="D23" i="59"/>
  <c r="E23" i="59"/>
  <c r="F23" i="59"/>
  <c r="G23" i="59"/>
  <c r="H23" i="59"/>
  <c r="I23" i="59"/>
  <c r="J23" i="59"/>
  <c r="K23" i="59"/>
  <c r="L23" i="59"/>
  <c r="M23" i="59"/>
  <c r="N23" i="59"/>
  <c r="D24" i="59"/>
  <c r="E24" i="59"/>
  <c r="F24" i="59"/>
  <c r="G24" i="59"/>
  <c r="H24" i="59"/>
  <c r="I24" i="59"/>
  <c r="J24" i="59"/>
  <c r="K24" i="59"/>
  <c r="L24" i="59"/>
  <c r="M24" i="59"/>
  <c r="N24" i="59"/>
  <c r="D25" i="59"/>
  <c r="E25" i="59"/>
  <c r="F25" i="59"/>
  <c r="G25" i="59"/>
  <c r="H25" i="59"/>
  <c r="I25" i="59"/>
  <c r="J25" i="59"/>
  <c r="K25" i="59"/>
  <c r="L25" i="59"/>
  <c r="M25" i="59"/>
  <c r="N25" i="59"/>
  <c r="D10" i="57"/>
  <c r="E10" i="57"/>
  <c r="F10" i="57"/>
  <c r="G10" i="57"/>
  <c r="H10" i="57"/>
  <c r="I10" i="57"/>
  <c r="J10" i="57"/>
  <c r="K10" i="57"/>
  <c r="L10" i="57"/>
  <c r="M10" i="57"/>
  <c r="N10" i="57"/>
  <c r="D11" i="57"/>
  <c r="E11" i="57"/>
  <c r="F11" i="57"/>
  <c r="G11" i="57"/>
  <c r="H11" i="57"/>
  <c r="I11" i="57"/>
  <c r="J11" i="57"/>
  <c r="K11" i="57"/>
  <c r="L11" i="57"/>
  <c r="M11" i="57"/>
  <c r="N11" i="57"/>
  <c r="D12" i="57"/>
  <c r="E12" i="57"/>
  <c r="F12" i="57"/>
  <c r="G12" i="57"/>
  <c r="H12" i="57"/>
  <c r="I12" i="57"/>
  <c r="J12" i="57"/>
  <c r="K12" i="57"/>
  <c r="L12" i="57"/>
  <c r="M12" i="57"/>
  <c r="N12" i="57"/>
  <c r="D13" i="57"/>
  <c r="E13" i="57"/>
  <c r="F13" i="57"/>
  <c r="G13" i="57"/>
  <c r="H13" i="57"/>
  <c r="I13" i="57"/>
  <c r="J13" i="57"/>
  <c r="K13" i="57"/>
  <c r="L13" i="57"/>
  <c r="M13" i="57"/>
  <c r="N13" i="57"/>
  <c r="D17" i="57"/>
  <c r="E17" i="57"/>
  <c r="F17" i="57"/>
  <c r="G17" i="57"/>
  <c r="H17" i="57"/>
  <c r="I17" i="57"/>
  <c r="J17" i="57"/>
  <c r="K17" i="57"/>
  <c r="L17" i="57"/>
  <c r="M17" i="57"/>
  <c r="N17" i="57"/>
  <c r="E18" i="57"/>
  <c r="F18" i="57"/>
  <c r="G18" i="57"/>
  <c r="H18" i="57"/>
  <c r="I18" i="57"/>
  <c r="J18" i="57"/>
  <c r="K18" i="57"/>
  <c r="L18" i="57"/>
  <c r="M18" i="57"/>
  <c r="N18" i="57"/>
  <c r="D19" i="57"/>
  <c r="E19" i="57"/>
  <c r="F19" i="57"/>
  <c r="G19" i="57"/>
  <c r="H19" i="57"/>
  <c r="I19" i="57"/>
  <c r="J19" i="57"/>
  <c r="K19" i="57"/>
  <c r="L19" i="57"/>
  <c r="M19" i="57"/>
  <c r="N19" i="57"/>
  <c r="D20" i="57"/>
  <c r="E20" i="57"/>
  <c r="F20" i="57"/>
  <c r="G20" i="57"/>
  <c r="H20" i="57"/>
  <c r="I20" i="57"/>
  <c r="J20" i="57"/>
  <c r="K20" i="57"/>
  <c r="L20" i="57"/>
  <c r="M20" i="57"/>
  <c r="N20" i="57"/>
  <c r="D24" i="57"/>
  <c r="E24" i="57"/>
  <c r="F24" i="57"/>
  <c r="G24" i="57"/>
  <c r="H24" i="57"/>
  <c r="I24" i="57"/>
  <c r="J24" i="57"/>
  <c r="K24" i="57"/>
  <c r="L24" i="57"/>
  <c r="M24" i="57"/>
  <c r="N24" i="57"/>
  <c r="D25" i="57"/>
  <c r="E25" i="57"/>
  <c r="F25" i="57"/>
  <c r="G25" i="57"/>
  <c r="H25" i="57"/>
  <c r="I25" i="57"/>
  <c r="J25" i="57"/>
  <c r="K25" i="57"/>
  <c r="L25" i="57"/>
  <c r="M25" i="57"/>
  <c r="N25" i="57"/>
  <c r="D26" i="57"/>
  <c r="E26" i="57"/>
  <c r="F26" i="57"/>
  <c r="G26" i="57"/>
  <c r="H26" i="57"/>
  <c r="I26" i="57"/>
  <c r="J26" i="57"/>
  <c r="K26" i="57"/>
  <c r="L26" i="57"/>
  <c r="M26" i="57"/>
  <c r="N26" i="57"/>
  <c r="D27" i="57"/>
  <c r="E27" i="57"/>
  <c r="F27" i="57"/>
  <c r="G27" i="57"/>
  <c r="H27" i="57"/>
  <c r="I27" i="57"/>
  <c r="J27" i="57"/>
  <c r="K27" i="57"/>
  <c r="L27" i="57"/>
  <c r="M27" i="57"/>
  <c r="N27" i="57"/>
  <c r="D31" i="57"/>
  <c r="E31" i="57"/>
  <c r="F31" i="57"/>
  <c r="G31" i="57"/>
  <c r="H31" i="57"/>
  <c r="I31" i="57"/>
  <c r="J31" i="57"/>
  <c r="K31" i="57"/>
  <c r="L31" i="57"/>
  <c r="M31" i="57"/>
  <c r="N31" i="57"/>
  <c r="D33" i="57"/>
  <c r="E33" i="57"/>
  <c r="F33" i="57"/>
  <c r="G33" i="57"/>
  <c r="H33" i="57"/>
  <c r="I33" i="57"/>
  <c r="J33" i="57"/>
  <c r="K33" i="57"/>
  <c r="L33" i="57"/>
  <c r="M33" i="57"/>
  <c r="N33" i="57"/>
  <c r="D34" i="57"/>
  <c r="E34" i="57"/>
  <c r="F34" i="57"/>
  <c r="G34" i="57"/>
  <c r="H34" i="57"/>
  <c r="I34" i="57"/>
  <c r="J34" i="57"/>
  <c r="K34" i="57"/>
  <c r="L34" i="57"/>
  <c r="M34" i="57"/>
  <c r="N34" i="57"/>
  <c r="D36" i="57"/>
  <c r="E36" i="57"/>
  <c r="F36" i="57"/>
  <c r="G36" i="57"/>
  <c r="H36" i="57"/>
  <c r="I36" i="57"/>
  <c r="J36" i="57"/>
  <c r="K36" i="57"/>
  <c r="L36" i="57"/>
  <c r="M36" i="57"/>
  <c r="N36" i="57"/>
  <c r="D37" i="57"/>
  <c r="E37" i="57"/>
  <c r="F37" i="57"/>
  <c r="G37" i="57"/>
  <c r="H37" i="57"/>
  <c r="I37" i="57"/>
  <c r="J37" i="57"/>
  <c r="K37" i="57"/>
  <c r="L37" i="57"/>
  <c r="M37" i="57"/>
  <c r="N37" i="57"/>
  <c r="D38" i="57"/>
  <c r="E38" i="57"/>
  <c r="F38" i="57"/>
  <c r="G38" i="57"/>
  <c r="H38" i="57"/>
  <c r="I38" i="57"/>
  <c r="J38" i="57"/>
  <c r="K38" i="57"/>
  <c r="L38" i="57"/>
  <c r="M38" i="57"/>
  <c r="N38" i="57"/>
  <c r="D39" i="57"/>
  <c r="E39" i="57"/>
  <c r="F39" i="57"/>
  <c r="G39" i="57"/>
  <c r="H39" i="57"/>
  <c r="I39" i="57"/>
  <c r="J39" i="57"/>
  <c r="K39" i="57"/>
  <c r="L39" i="57"/>
  <c r="M39" i="57"/>
  <c r="N39" i="57"/>
  <c r="E7" i="22"/>
  <c r="F7" i="22"/>
  <c r="G7" i="22"/>
  <c r="H7" i="22"/>
  <c r="I7" i="22"/>
  <c r="J7" i="22"/>
  <c r="K7" i="22"/>
  <c r="L7" i="22"/>
  <c r="M7" i="22"/>
  <c r="N7" i="22"/>
  <c r="E8" i="22"/>
  <c r="F8" i="22"/>
  <c r="G8" i="22"/>
  <c r="H8" i="22"/>
  <c r="I8" i="22"/>
  <c r="J8" i="22"/>
  <c r="K8" i="22"/>
  <c r="L8" i="22"/>
  <c r="M8" i="22"/>
  <c r="N8" i="22"/>
  <c r="E9" i="22"/>
  <c r="F9" i="22"/>
  <c r="G9" i="22"/>
  <c r="H9" i="22"/>
  <c r="I9" i="22"/>
  <c r="J9" i="22"/>
  <c r="K9" i="22"/>
  <c r="L9" i="22"/>
  <c r="M9" i="22"/>
  <c r="N9" i="22"/>
  <c r="E10" i="22"/>
  <c r="F10" i="22"/>
  <c r="G10" i="22"/>
  <c r="H10" i="22"/>
  <c r="I10" i="22"/>
  <c r="J10" i="22"/>
  <c r="K10" i="22"/>
  <c r="L10" i="22"/>
  <c r="M10" i="22"/>
  <c r="N10" i="22"/>
  <c r="E12" i="22"/>
  <c r="F12" i="22"/>
  <c r="G12" i="22"/>
  <c r="H12" i="22"/>
  <c r="I12" i="22"/>
  <c r="J12" i="22"/>
  <c r="K12" i="22"/>
  <c r="L12" i="22"/>
  <c r="M12" i="22"/>
  <c r="N12" i="22"/>
  <c r="E13" i="22"/>
  <c r="F13" i="22"/>
  <c r="G13" i="22"/>
  <c r="H13" i="22"/>
  <c r="I13" i="22"/>
  <c r="J13" i="22"/>
  <c r="K13" i="22"/>
  <c r="L13" i="22"/>
  <c r="M13" i="22"/>
  <c r="N13" i="22"/>
  <c r="F15" i="22"/>
  <c r="G15" i="22"/>
  <c r="H15" i="22"/>
  <c r="I15" i="22"/>
  <c r="J15" i="22"/>
  <c r="K15" i="22"/>
  <c r="L15" i="22"/>
  <c r="M15" i="22"/>
  <c r="N15" i="22"/>
  <c r="F16" i="22"/>
  <c r="G16" i="22"/>
  <c r="H16" i="22"/>
  <c r="I16" i="22"/>
  <c r="J16" i="22"/>
  <c r="K16" i="22"/>
  <c r="L16" i="22"/>
  <c r="M16" i="22"/>
  <c r="N16" i="22"/>
  <c r="F17" i="22"/>
  <c r="G17" i="22"/>
  <c r="H17" i="22"/>
  <c r="I17" i="22"/>
  <c r="J17" i="22"/>
  <c r="K17" i="22"/>
  <c r="L17" i="22"/>
  <c r="M17" i="22"/>
  <c r="N17" i="22"/>
  <c r="E19" i="22"/>
  <c r="F19" i="22"/>
  <c r="G19" i="22"/>
  <c r="H19" i="22"/>
  <c r="I19" i="22"/>
  <c r="J19" i="22"/>
  <c r="K19" i="22"/>
  <c r="L19" i="22"/>
  <c r="M19" i="22"/>
  <c r="N19" i="22"/>
  <c r="E20" i="22"/>
  <c r="F20" i="22"/>
  <c r="G20" i="22"/>
  <c r="H20" i="22"/>
  <c r="I20" i="22"/>
  <c r="J20" i="22"/>
  <c r="K20" i="22"/>
  <c r="L20" i="22"/>
  <c r="M20" i="22"/>
  <c r="N20" i="22"/>
  <c r="E22" i="22"/>
  <c r="F22" i="22"/>
  <c r="G22" i="22"/>
  <c r="H22" i="22"/>
  <c r="I22" i="22"/>
  <c r="J22" i="22"/>
  <c r="K22" i="22"/>
  <c r="L22" i="22"/>
  <c r="M22" i="22"/>
  <c r="N22" i="22"/>
  <c r="E23" i="22"/>
  <c r="F23" i="22"/>
  <c r="G23" i="22"/>
  <c r="H23" i="22"/>
  <c r="I23" i="22"/>
  <c r="J23" i="22"/>
  <c r="K23" i="22"/>
  <c r="L23" i="22"/>
  <c r="M23" i="22"/>
  <c r="N23" i="22"/>
  <c r="E25" i="22"/>
  <c r="F25" i="22"/>
  <c r="G25" i="22"/>
  <c r="H25" i="22"/>
  <c r="I25" i="22"/>
  <c r="J25" i="22"/>
  <c r="K25" i="22"/>
  <c r="L25" i="22"/>
  <c r="M25" i="22"/>
  <c r="N25" i="22"/>
  <c r="E26" i="22"/>
  <c r="F26" i="22"/>
  <c r="G26" i="22"/>
  <c r="H26" i="22"/>
  <c r="I26" i="22"/>
  <c r="J26" i="22"/>
  <c r="K26" i="22"/>
  <c r="L26" i="22"/>
  <c r="M26" i="22"/>
  <c r="N26" i="22"/>
  <c r="E28" i="22"/>
  <c r="F28" i="22"/>
  <c r="G28" i="22"/>
  <c r="H28" i="22"/>
  <c r="I28" i="22"/>
  <c r="J28" i="22"/>
  <c r="K28" i="22"/>
  <c r="L28" i="22"/>
  <c r="M28" i="22"/>
  <c r="N28" i="22"/>
  <c r="E29" i="22"/>
  <c r="F29" i="22"/>
  <c r="G29" i="22"/>
  <c r="H29" i="22"/>
  <c r="I29" i="22"/>
  <c r="J29" i="22"/>
  <c r="K29" i="22"/>
  <c r="L29" i="22"/>
  <c r="M29" i="22"/>
  <c r="N29" i="22"/>
  <c r="E30" i="22"/>
  <c r="F30" i="22"/>
  <c r="G30" i="22"/>
  <c r="H30" i="22"/>
  <c r="I30" i="22"/>
  <c r="J30" i="22"/>
  <c r="K30" i="22"/>
  <c r="L30" i="22"/>
  <c r="M30" i="22"/>
  <c r="N30" i="22"/>
  <c r="E31" i="22"/>
  <c r="F31" i="22"/>
  <c r="G31" i="22"/>
  <c r="H31" i="22"/>
  <c r="I31" i="22"/>
  <c r="J31" i="22"/>
  <c r="K31" i="22"/>
  <c r="L31" i="22"/>
  <c r="M31" i="22"/>
  <c r="N31" i="22"/>
  <c r="E33" i="22"/>
  <c r="F33" i="22"/>
  <c r="G33" i="22"/>
  <c r="H33" i="22"/>
  <c r="I33" i="22"/>
  <c r="J33" i="22"/>
  <c r="K33" i="22"/>
  <c r="L33" i="22"/>
  <c r="M33" i="22"/>
  <c r="N33" i="22"/>
  <c r="E34" i="22"/>
  <c r="F34" i="22"/>
  <c r="G34" i="22"/>
  <c r="H34" i="22"/>
  <c r="I34" i="22"/>
  <c r="J34" i="22"/>
  <c r="K34" i="22"/>
  <c r="L34" i="22"/>
  <c r="M34" i="22"/>
  <c r="N34" i="22"/>
  <c r="E40" i="22"/>
  <c r="F40" i="22"/>
  <c r="G40" i="22"/>
  <c r="H40" i="22"/>
  <c r="I40" i="22"/>
  <c r="J40" i="22"/>
  <c r="K40" i="22"/>
  <c r="L40" i="22"/>
  <c r="M40" i="22"/>
  <c r="N40" i="22"/>
  <c r="E41" i="22"/>
  <c r="F41" i="22"/>
  <c r="G41" i="22"/>
  <c r="H41" i="22"/>
  <c r="I41" i="22"/>
  <c r="J41" i="22"/>
  <c r="K41" i="22"/>
  <c r="L41" i="22"/>
  <c r="M41" i="22"/>
  <c r="N41" i="22"/>
  <c r="E42" i="22"/>
  <c r="F42" i="22"/>
  <c r="G42" i="22"/>
  <c r="H42" i="22"/>
  <c r="I42" i="22"/>
  <c r="J42" i="22"/>
  <c r="K42" i="22"/>
  <c r="L42" i="22"/>
  <c r="M42" i="22"/>
  <c r="N42" i="22"/>
  <c r="E43" i="22"/>
  <c r="F43" i="22"/>
  <c r="G43" i="22"/>
  <c r="H43" i="22"/>
  <c r="I43" i="22"/>
  <c r="J43" i="22"/>
  <c r="K43" i="22"/>
  <c r="L43" i="22"/>
  <c r="M43" i="22"/>
  <c r="N43" i="22"/>
  <c r="E45" i="22"/>
  <c r="F45" i="22"/>
  <c r="G45" i="22"/>
  <c r="H45" i="22"/>
  <c r="I45" i="22"/>
  <c r="J45" i="22"/>
  <c r="K45" i="22"/>
  <c r="L45" i="22"/>
  <c r="M45" i="22"/>
  <c r="N45" i="22"/>
  <c r="E46" i="22"/>
  <c r="F46" i="22"/>
  <c r="G46" i="22"/>
  <c r="H46" i="22"/>
  <c r="I46" i="22"/>
  <c r="J46" i="22"/>
  <c r="K46" i="22"/>
  <c r="L46" i="22"/>
  <c r="M46" i="22"/>
  <c r="N46" i="22"/>
  <c r="E47" i="22"/>
  <c r="F47" i="22"/>
  <c r="G47" i="22"/>
  <c r="H47" i="22"/>
  <c r="I47" i="22"/>
  <c r="J47" i="22"/>
  <c r="K47" i="22"/>
  <c r="L47" i="22"/>
  <c r="M47" i="22"/>
  <c r="N47" i="22"/>
  <c r="E48" i="22"/>
  <c r="F48" i="22"/>
  <c r="G48" i="22"/>
  <c r="H48" i="22"/>
  <c r="I48" i="22"/>
  <c r="J48" i="22"/>
  <c r="K48" i="22"/>
  <c r="L48" i="22"/>
  <c r="M48" i="22"/>
  <c r="N48" i="22"/>
  <c r="E51" i="22"/>
  <c r="F51" i="22"/>
  <c r="G51" i="22"/>
  <c r="H51" i="22"/>
  <c r="I51" i="22"/>
  <c r="J51" i="22"/>
  <c r="K51" i="22"/>
  <c r="L51" i="22"/>
  <c r="M51" i="22"/>
  <c r="N51" i="22"/>
  <c r="E52" i="22"/>
  <c r="F52" i="22"/>
  <c r="G52" i="22"/>
  <c r="H52" i="22"/>
  <c r="I52" i="22"/>
  <c r="J52" i="22"/>
  <c r="K52" i="22"/>
  <c r="L52" i="22"/>
  <c r="M52" i="22"/>
  <c r="N52" i="22"/>
  <c r="E53" i="22"/>
  <c r="F53" i="22"/>
  <c r="G53" i="22"/>
  <c r="H53" i="22"/>
  <c r="I53" i="22"/>
  <c r="J53" i="22"/>
  <c r="K53" i="22"/>
  <c r="L53" i="22"/>
  <c r="M53" i="22"/>
  <c r="N53" i="22"/>
  <c r="E54" i="22"/>
  <c r="F54" i="22"/>
  <c r="G54" i="22"/>
  <c r="H54" i="22"/>
  <c r="I54" i="22"/>
  <c r="J54" i="22"/>
  <c r="K54" i="22"/>
  <c r="L54" i="22"/>
  <c r="M54" i="22"/>
  <c r="N54" i="22"/>
  <c r="E55" i="22"/>
  <c r="F55" i="22"/>
  <c r="G55" i="22"/>
  <c r="H55" i="22"/>
  <c r="I55" i="22"/>
  <c r="J55" i="22"/>
  <c r="K55" i="22"/>
  <c r="L55" i="22"/>
  <c r="M55" i="22"/>
  <c r="N55" i="22"/>
  <c r="E57" i="22"/>
  <c r="F57" i="22"/>
  <c r="G57" i="22"/>
  <c r="H57" i="22"/>
  <c r="I57" i="22"/>
  <c r="J57" i="22"/>
  <c r="K57" i="22"/>
  <c r="L57" i="22"/>
  <c r="M57" i="22"/>
  <c r="N57" i="22"/>
  <c r="E58" i="22"/>
  <c r="F58" i="22"/>
  <c r="G58" i="22"/>
  <c r="H58" i="22"/>
  <c r="I58" i="22"/>
  <c r="J58" i="22"/>
  <c r="K58" i="22"/>
  <c r="L58" i="22"/>
  <c r="M58" i="22"/>
  <c r="N58" i="22"/>
  <c r="E59" i="22"/>
  <c r="F59" i="22"/>
  <c r="G59" i="22"/>
  <c r="H59" i="22"/>
  <c r="I59" i="22"/>
  <c r="J59" i="22"/>
  <c r="K59" i="22"/>
  <c r="L59" i="22"/>
  <c r="M59" i="22"/>
  <c r="N59" i="22"/>
  <c r="E61" i="22"/>
  <c r="F61" i="22"/>
  <c r="G61" i="22"/>
  <c r="H61" i="22"/>
  <c r="I61" i="22"/>
  <c r="J61" i="22"/>
  <c r="K61" i="22"/>
  <c r="L61" i="22"/>
  <c r="M61" i="22"/>
  <c r="N61" i="22"/>
  <c r="E62" i="22"/>
  <c r="F62" i="22"/>
  <c r="G62" i="22"/>
  <c r="H62" i="22"/>
  <c r="I62" i="22"/>
  <c r="J62" i="22"/>
  <c r="K62" i="22"/>
  <c r="L62" i="22"/>
  <c r="M62" i="22"/>
  <c r="N62" i="22"/>
  <c r="G8" i="20"/>
  <c r="K8" i="20"/>
  <c r="G9" i="20"/>
  <c r="K9" i="20"/>
  <c r="G10" i="20"/>
  <c r="K10" i="20"/>
  <c r="G12" i="20"/>
  <c r="K12" i="20"/>
  <c r="G13" i="20"/>
  <c r="K13" i="20"/>
  <c r="G14" i="20"/>
  <c r="K14" i="20"/>
  <c r="G16" i="20"/>
  <c r="K16" i="20"/>
  <c r="F8" i="2"/>
  <c r="G8" i="2"/>
  <c r="H8" i="2"/>
  <c r="I8" i="2"/>
  <c r="J8" i="2"/>
  <c r="K8" i="2"/>
  <c r="L8" i="2"/>
  <c r="M8" i="2"/>
  <c r="I9" i="2"/>
  <c r="I10" i="2"/>
  <c r="I11" i="2"/>
  <c r="B12" i="2"/>
  <c r="C12" i="2"/>
  <c r="D12" i="2"/>
  <c r="E12" i="2"/>
  <c r="F12" i="2"/>
  <c r="G12" i="2"/>
  <c r="H12" i="2"/>
  <c r="I12" i="2"/>
  <c r="J12" i="2"/>
  <c r="K12" i="2"/>
  <c r="L12" i="2"/>
  <c r="M12" i="2"/>
  <c r="B15" i="2"/>
  <c r="C15" i="2"/>
  <c r="D15" i="2"/>
  <c r="E15" i="2"/>
  <c r="F15" i="2"/>
  <c r="G15" i="2"/>
  <c r="H15" i="2"/>
  <c r="I15" i="2"/>
  <c r="J15" i="2"/>
  <c r="K15" i="2"/>
  <c r="L15" i="2"/>
  <c r="M15" i="2"/>
  <c r="B16" i="2"/>
  <c r="C16" i="2"/>
  <c r="D16" i="2"/>
  <c r="E16" i="2"/>
  <c r="F16" i="2"/>
  <c r="G16" i="2"/>
  <c r="H16" i="2"/>
  <c r="I16" i="2"/>
  <c r="J16" i="2"/>
  <c r="K16" i="2"/>
  <c r="L16" i="2"/>
  <c r="M16" i="2"/>
  <c r="I17" i="2"/>
  <c r="F18" i="2"/>
  <c r="G18" i="2"/>
  <c r="H18" i="2"/>
  <c r="I18" i="2"/>
  <c r="J18" i="2"/>
  <c r="K18" i="2"/>
  <c r="L18" i="2"/>
  <c r="M18" i="2"/>
  <c r="G19" i="2"/>
  <c r="H19" i="2"/>
  <c r="I19" i="2"/>
  <c r="J19" i="2"/>
  <c r="K19" i="2"/>
  <c r="L19" i="2"/>
  <c r="M19" i="2"/>
  <c r="B20" i="2"/>
  <c r="C20" i="2"/>
  <c r="D20" i="2"/>
  <c r="E20" i="2"/>
  <c r="F20" i="2"/>
  <c r="G20" i="2"/>
  <c r="H20" i="2"/>
  <c r="I20" i="2"/>
  <c r="J20" i="2"/>
  <c r="K20" i="2"/>
  <c r="L20" i="2"/>
  <c r="M20" i="2"/>
  <c r="H23" i="2"/>
  <c r="I23" i="2"/>
  <c r="J23" i="2"/>
  <c r="K23" i="2"/>
  <c r="L23" i="2"/>
  <c r="M23" i="2"/>
  <c r="H24" i="2"/>
  <c r="I24" i="2"/>
  <c r="J24" i="2"/>
  <c r="K24" i="2"/>
  <c r="L24" i="2"/>
  <c r="M24" i="2"/>
  <c r="H25" i="2"/>
  <c r="I25" i="2"/>
  <c r="J25" i="2"/>
  <c r="K25" i="2"/>
  <c r="L25" i="2"/>
  <c r="M25" i="2"/>
  <c r="G26" i="2"/>
  <c r="H26" i="2"/>
  <c r="I26" i="2"/>
  <c r="J26" i="2"/>
  <c r="K26" i="2"/>
  <c r="L26" i="2"/>
  <c r="M26" i="2"/>
  <c r="B28" i="2"/>
  <c r="C28" i="2"/>
  <c r="D28" i="2"/>
  <c r="E28" i="2"/>
  <c r="F28" i="2"/>
  <c r="G28" i="2"/>
  <c r="H28" i="2"/>
  <c r="I28" i="2"/>
  <c r="J28" i="2"/>
  <c r="K28" i="2"/>
  <c r="L28" i="2"/>
  <c r="M28" i="2"/>
  <c r="G31" i="2"/>
  <c r="H31" i="2"/>
  <c r="I31" i="2"/>
  <c r="J31" i="2"/>
  <c r="K31" i="2"/>
  <c r="L31" i="2"/>
  <c r="M31" i="2"/>
  <c r="G32" i="2"/>
  <c r="H32" i="2"/>
  <c r="I32" i="2"/>
  <c r="J32" i="2"/>
  <c r="K32" i="2"/>
  <c r="L32" i="2"/>
  <c r="M32" i="2"/>
  <c r="B33" i="2"/>
  <c r="C33" i="2"/>
  <c r="D33" i="2"/>
  <c r="E33" i="2"/>
  <c r="F33" i="2"/>
  <c r="G33" i="2"/>
  <c r="H33" i="2"/>
  <c r="I33" i="2"/>
  <c r="J33" i="2"/>
  <c r="K33" i="2"/>
  <c r="L33" i="2"/>
  <c r="M33" i="2"/>
  <c r="B35" i="2"/>
  <c r="C35" i="2"/>
  <c r="D35" i="2"/>
  <c r="E35" i="2"/>
  <c r="F35" i="2"/>
  <c r="G35" i="2"/>
  <c r="H35" i="2"/>
  <c r="I35" i="2"/>
  <c r="J35" i="2"/>
  <c r="K35" i="2"/>
  <c r="L35" i="2"/>
  <c r="M35" i="2"/>
  <c r="B39" i="2"/>
  <c r="C39" i="2"/>
  <c r="D39" i="2"/>
  <c r="E39" i="2"/>
  <c r="F39" i="2"/>
  <c r="G39" i="2"/>
  <c r="H39" i="2"/>
  <c r="I39" i="2"/>
  <c r="J39" i="2"/>
  <c r="K39" i="2"/>
  <c r="L39" i="2"/>
  <c r="M39" i="2"/>
  <c r="B43" i="2"/>
  <c r="B45" i="2"/>
  <c r="C45" i="2"/>
  <c r="D45" i="2"/>
  <c r="E45" i="2"/>
  <c r="F45" i="2"/>
  <c r="C46" i="2"/>
  <c r="D46" i="2"/>
  <c r="E46" i="2"/>
  <c r="F46" i="2"/>
  <c r="B50" i="2"/>
  <c r="C50" i="2"/>
  <c r="D50" i="2"/>
  <c r="E50" i="2"/>
  <c r="F50" i="2"/>
  <c r="G50" i="2"/>
  <c r="H50" i="2"/>
  <c r="J50" i="2"/>
  <c r="K50" i="2"/>
  <c r="L50" i="2"/>
  <c r="M50" i="2"/>
  <c r="B51" i="2"/>
  <c r="C51" i="2"/>
  <c r="D51" i="2"/>
  <c r="E51" i="2"/>
  <c r="F51" i="2"/>
  <c r="G51" i="2"/>
  <c r="H51" i="2"/>
  <c r="J51" i="2"/>
  <c r="K51" i="2"/>
  <c r="L51" i="2"/>
  <c r="M51" i="2"/>
  <c r="B52" i="2"/>
  <c r="C52" i="2"/>
  <c r="D52" i="2"/>
  <c r="E52" i="2"/>
  <c r="F52" i="2"/>
  <c r="G52" i="2"/>
  <c r="H52" i="2"/>
  <c r="J52" i="2"/>
  <c r="K52" i="2"/>
  <c r="L52" i="2"/>
  <c r="M52" i="2"/>
  <c r="F53" i="2"/>
  <c r="G53" i="2"/>
  <c r="H53" i="2"/>
  <c r="J53" i="2"/>
  <c r="K53" i="2"/>
  <c r="L53" i="2"/>
  <c r="M53" i="2"/>
  <c r="B55" i="2"/>
  <c r="C55" i="2"/>
  <c r="D55" i="2"/>
  <c r="E55" i="2"/>
  <c r="F55" i="2"/>
  <c r="G55" i="2"/>
  <c r="H55" i="2"/>
  <c r="J55" i="2"/>
  <c r="K55" i="2"/>
  <c r="L55" i="2"/>
  <c r="M55" i="2"/>
  <c r="B56" i="2"/>
  <c r="C56" i="2"/>
  <c r="D56" i="2"/>
  <c r="E56" i="2"/>
  <c r="F56" i="2"/>
  <c r="G56" i="2"/>
  <c r="H56" i="2"/>
  <c r="J56" i="2"/>
  <c r="K56" i="2"/>
  <c r="L56" i="2"/>
  <c r="M56" i="2"/>
  <c r="B57" i="2"/>
  <c r="C57" i="2"/>
  <c r="D57" i="2"/>
  <c r="E57" i="2"/>
  <c r="F57" i="2"/>
  <c r="G57" i="2"/>
  <c r="H57" i="2"/>
  <c r="J57" i="2"/>
  <c r="K57" i="2"/>
  <c r="L57" i="2"/>
  <c r="M57" i="2"/>
  <c r="B59" i="2"/>
  <c r="C59" i="2"/>
  <c r="D59" i="2"/>
  <c r="E59" i="2"/>
  <c r="B60" i="2"/>
  <c r="C60" i="2"/>
  <c r="D60" i="2"/>
  <c r="E60" i="2"/>
  <c r="B61" i="2"/>
  <c r="C61" i="2"/>
  <c r="D61" i="2"/>
  <c r="E61" i="2"/>
  <c r="B63" i="2"/>
  <c r="C63" i="2"/>
  <c r="D63" i="2"/>
  <c r="E63" i="2"/>
  <c r="B64" i="2"/>
  <c r="C64" i="2"/>
  <c r="D64" i="2"/>
  <c r="E64" i="2"/>
  <c r="B65" i="2"/>
  <c r="C65" i="2"/>
  <c r="D65" i="2"/>
  <c r="E65" i="2"/>
  <c r="B67" i="2"/>
  <c r="C67" i="2"/>
  <c r="D67" i="2"/>
  <c r="E67" i="2"/>
  <c r="B68" i="2"/>
  <c r="C68" i="2"/>
  <c r="D68" i="2"/>
  <c r="E68" i="2"/>
  <c r="B69" i="2"/>
  <c r="C69" i="2"/>
  <c r="D69" i="2"/>
  <c r="E69" i="2"/>
  <c r="B70" i="2"/>
  <c r="C70" i="2"/>
  <c r="D70" i="2"/>
  <c r="E70" i="2"/>
  <c r="B71" i="2"/>
  <c r="C71" i="2"/>
  <c r="D71" i="2"/>
  <c r="E71" i="2"/>
  <c r="B73" i="2"/>
  <c r="C73" i="2"/>
  <c r="D73" i="2"/>
  <c r="E73" i="2"/>
  <c r="B76" i="2"/>
  <c r="C76" i="2"/>
  <c r="D76" i="2"/>
  <c r="E76" i="2"/>
  <c r="B77" i="2"/>
  <c r="C77" i="2"/>
  <c r="D77" i="2"/>
  <c r="E77" i="2"/>
  <c r="B78" i="2"/>
  <c r="C78" i="2"/>
  <c r="D78" i="2"/>
  <c r="E78" i="2"/>
  <c r="B79" i="2"/>
  <c r="C79" i="2"/>
  <c r="D79" i="2"/>
  <c r="E79" i="2"/>
  <c r="B80" i="2"/>
  <c r="C80" i="2"/>
  <c r="D80" i="2"/>
  <c r="E80" i="2"/>
  <c r="B81" i="2"/>
  <c r="C81" i="2"/>
  <c r="D81" i="2"/>
  <c r="E81" i="2"/>
  <c r="B82" i="2"/>
  <c r="C82" i="2"/>
  <c r="D82" i="2"/>
  <c r="E82" i="2"/>
  <c r="F82" i="2"/>
  <c r="H82" i="2"/>
  <c r="J82" i="2"/>
  <c r="K82" i="2"/>
  <c r="L82" i="2"/>
  <c r="M82" i="2"/>
  <c r="B83" i="2"/>
  <c r="C83" i="2"/>
  <c r="D83" i="2"/>
  <c r="E83" i="2"/>
  <c r="B84" i="2"/>
  <c r="C84" i="2"/>
  <c r="D84" i="2"/>
  <c r="E84" i="2"/>
  <c r="B85" i="2"/>
  <c r="C85" i="2"/>
  <c r="D85" i="2"/>
  <c r="E85" i="2"/>
  <c r="B86" i="2"/>
  <c r="C86" i="2"/>
  <c r="D86" i="2"/>
  <c r="E86" i="2"/>
  <c r="B87" i="2"/>
  <c r="C87" i="2"/>
  <c r="D87" i="2"/>
  <c r="E87" i="2"/>
  <c r="B88" i="2"/>
  <c r="C88" i="2"/>
  <c r="D88" i="2"/>
  <c r="E88" i="2"/>
  <c r="Q88" i="2"/>
  <c r="S88" i="2"/>
  <c r="B89" i="2"/>
  <c r="C89" i="2"/>
  <c r="D89" i="2"/>
  <c r="E89" i="2"/>
  <c r="B90" i="2"/>
  <c r="C90" i="2"/>
  <c r="D90" i="2"/>
  <c r="E90" i="2"/>
  <c r="B92" i="2"/>
  <c r="C92" i="2"/>
  <c r="D92" i="2"/>
  <c r="E92" i="2"/>
  <c r="F92" i="2"/>
  <c r="G92" i="2"/>
  <c r="H92" i="2"/>
  <c r="J92" i="2"/>
  <c r="K92" i="2"/>
  <c r="L92" i="2"/>
  <c r="M92" i="2"/>
  <c r="B93" i="2"/>
  <c r="C93" i="2"/>
  <c r="D93" i="2"/>
  <c r="E93" i="2"/>
  <c r="F93" i="2"/>
  <c r="G93" i="2"/>
  <c r="H93" i="2"/>
  <c r="J93" i="2"/>
  <c r="K93" i="2"/>
  <c r="L93" i="2"/>
  <c r="M93" i="2"/>
  <c r="B94" i="2"/>
  <c r="C94" i="2"/>
  <c r="D94" i="2"/>
  <c r="E94" i="2"/>
  <c r="F94" i="2"/>
  <c r="G94" i="2"/>
  <c r="H94" i="2"/>
  <c r="J94" i="2"/>
  <c r="K94" i="2"/>
  <c r="L94" i="2"/>
  <c r="M94" i="2"/>
  <c r="B95" i="2"/>
  <c r="C95" i="2"/>
  <c r="D95" i="2"/>
  <c r="E95" i="2"/>
  <c r="F95" i="2"/>
  <c r="G95" i="2"/>
  <c r="H95" i="2"/>
  <c r="J95" i="2"/>
  <c r="K95" i="2"/>
  <c r="L95" i="2"/>
  <c r="M95" i="2"/>
  <c r="B97" i="2"/>
  <c r="C97" i="2"/>
  <c r="D97" i="2"/>
  <c r="E97" i="2"/>
  <c r="F97" i="2"/>
  <c r="H97" i="2"/>
  <c r="J97" i="2"/>
  <c r="K97" i="2"/>
  <c r="L97" i="2"/>
  <c r="M97" i="2"/>
  <c r="B98" i="2"/>
  <c r="C98" i="2"/>
  <c r="D98" i="2"/>
  <c r="E98" i="2"/>
  <c r="F98" i="2"/>
  <c r="H98" i="2"/>
  <c r="J98" i="2"/>
  <c r="K98" i="2"/>
  <c r="L98" i="2"/>
  <c r="M98" i="2"/>
  <c r="B100" i="2"/>
  <c r="C100" i="2"/>
  <c r="D100" i="2"/>
  <c r="E100" i="2"/>
  <c r="F100" i="2"/>
  <c r="H100" i="2"/>
  <c r="J100" i="2"/>
  <c r="K100" i="2"/>
  <c r="L100" i="2"/>
  <c r="M100" i="2"/>
  <c r="B101" i="2"/>
  <c r="C101" i="2"/>
  <c r="D101" i="2"/>
  <c r="E101" i="2"/>
  <c r="F101" i="2"/>
  <c r="H101" i="2"/>
  <c r="J101" i="2"/>
  <c r="K101" i="2"/>
  <c r="L101" i="2"/>
  <c r="M101" i="2"/>
  <c r="B103" i="2"/>
  <c r="C103" i="2"/>
  <c r="D103" i="2"/>
  <c r="E103" i="2"/>
  <c r="F103" i="2"/>
  <c r="H103" i="2"/>
  <c r="J103" i="2"/>
  <c r="K103" i="2"/>
  <c r="L103" i="2"/>
  <c r="M103" i="2"/>
  <c r="A105" i="2"/>
  <c r="B105" i="2"/>
  <c r="C105" i="2"/>
  <c r="D105" i="2"/>
  <c r="E105" i="2"/>
  <c r="B106" i="2"/>
  <c r="C106" i="2"/>
  <c r="D106" i="2"/>
  <c r="E106" i="2"/>
  <c r="B107" i="2"/>
  <c r="C107" i="2"/>
  <c r="D107" i="2"/>
  <c r="E107" i="2"/>
  <c r="B110" i="2"/>
  <c r="C110" i="2"/>
  <c r="D110" i="2"/>
  <c r="E110" i="2"/>
  <c r="B111" i="2"/>
  <c r="C111" i="2"/>
  <c r="D111" i="2"/>
  <c r="E111" i="2"/>
  <c r="B113" i="2"/>
  <c r="C113" i="2"/>
  <c r="D113" i="2"/>
  <c r="E113" i="2"/>
  <c r="B114" i="2"/>
  <c r="C114" i="2"/>
  <c r="D114" i="2"/>
  <c r="E114" i="2"/>
  <c r="B115" i="2"/>
  <c r="C115" i="2"/>
  <c r="D115" i="2"/>
  <c r="E115" i="2"/>
  <c r="B116" i="2"/>
  <c r="C116" i="2"/>
  <c r="D116" i="2"/>
  <c r="E116" i="2"/>
  <c r="B117" i="2"/>
  <c r="C117" i="2"/>
  <c r="D117" i="2"/>
  <c r="E117" i="2"/>
  <c r="B118" i="2"/>
  <c r="C118" i="2"/>
  <c r="D118" i="2"/>
  <c r="E118" i="2"/>
  <c r="C6" i="50"/>
  <c r="I6" i="50"/>
  <c r="G7" i="50"/>
  <c r="M7" i="50"/>
  <c r="G8" i="50"/>
  <c r="M8" i="50"/>
  <c r="D9" i="50"/>
  <c r="F9" i="50"/>
  <c r="G9" i="50"/>
  <c r="J9" i="50"/>
  <c r="K9" i="50"/>
  <c r="L9" i="50"/>
  <c r="M9" i="50"/>
  <c r="O9" i="50"/>
  <c r="C11" i="50"/>
  <c r="I11" i="50"/>
  <c r="G12" i="50"/>
  <c r="M12" i="50"/>
  <c r="G13" i="50"/>
  <c r="M13" i="50"/>
  <c r="C14" i="50"/>
  <c r="D14" i="50"/>
  <c r="E14" i="50"/>
  <c r="F14" i="50"/>
  <c r="G14" i="50"/>
  <c r="I14" i="50"/>
  <c r="J14" i="50"/>
  <c r="K14" i="50"/>
  <c r="L14" i="50"/>
  <c r="M14" i="50"/>
  <c r="O14" i="50"/>
  <c r="C16" i="50"/>
  <c r="I16" i="50"/>
  <c r="G17" i="50"/>
  <c r="M17" i="50"/>
  <c r="G18" i="50"/>
  <c r="M18" i="50"/>
  <c r="C19" i="50"/>
  <c r="D19" i="50"/>
  <c r="E19" i="50"/>
  <c r="F19" i="50"/>
  <c r="G19" i="50"/>
  <c r="I19" i="50"/>
  <c r="J19" i="50"/>
  <c r="K19" i="50"/>
  <c r="L19" i="50"/>
  <c r="M19" i="50"/>
  <c r="O19" i="50"/>
  <c r="C21" i="50"/>
  <c r="I21" i="50"/>
  <c r="G22" i="50"/>
  <c r="M22" i="50"/>
  <c r="G23" i="50"/>
  <c r="M23" i="50"/>
  <c r="C24" i="50"/>
  <c r="D24" i="50"/>
  <c r="E24" i="50"/>
  <c r="F24" i="50"/>
  <c r="G24" i="50"/>
  <c r="I24" i="50"/>
  <c r="J24" i="50"/>
  <c r="K24" i="50"/>
  <c r="L24" i="50"/>
  <c r="M24" i="50"/>
  <c r="O24" i="50"/>
  <c r="C28" i="50"/>
  <c r="D28" i="50"/>
  <c r="E28" i="50"/>
  <c r="F28" i="50"/>
  <c r="G28" i="50"/>
  <c r="I28" i="50"/>
  <c r="J28" i="50"/>
  <c r="K28" i="50"/>
  <c r="L28" i="50"/>
  <c r="M28" i="50"/>
  <c r="C29" i="50"/>
  <c r="D29" i="50"/>
  <c r="E29" i="50"/>
  <c r="F29" i="50"/>
  <c r="G29" i="50"/>
  <c r="I29" i="50"/>
  <c r="J29" i="50"/>
  <c r="K29" i="50"/>
  <c r="L29" i="50"/>
  <c r="M29" i="50"/>
  <c r="C30" i="50"/>
  <c r="D30" i="50"/>
  <c r="E30" i="50"/>
  <c r="F30" i="50"/>
  <c r="G30" i="50"/>
  <c r="I30" i="50"/>
  <c r="J30" i="50"/>
  <c r="K30" i="50"/>
  <c r="L30" i="50"/>
  <c r="M30" i="50"/>
  <c r="O30" i="50"/>
  <c r="E4" i="15"/>
  <c r="F4" i="15"/>
  <c r="G4" i="15"/>
  <c r="K4" i="15"/>
  <c r="L4" i="15"/>
  <c r="M4" i="15"/>
  <c r="E5" i="15"/>
  <c r="F5" i="15"/>
  <c r="G5" i="15"/>
  <c r="K5" i="15"/>
  <c r="L5" i="15"/>
  <c r="M5" i="15"/>
  <c r="E6" i="15"/>
  <c r="F6" i="15"/>
  <c r="G6" i="15"/>
  <c r="K6" i="15"/>
  <c r="L6" i="15"/>
  <c r="M6" i="15"/>
  <c r="K7" i="15"/>
  <c r="L7" i="15"/>
  <c r="M7" i="15"/>
  <c r="E8" i="15"/>
  <c r="F8" i="15"/>
  <c r="G8" i="15"/>
  <c r="E9" i="15"/>
  <c r="F9" i="15"/>
  <c r="G9" i="15"/>
  <c r="K10" i="15"/>
  <c r="L10" i="15"/>
  <c r="M10" i="15"/>
  <c r="E11" i="15"/>
  <c r="F11" i="15"/>
  <c r="G11" i="15"/>
  <c r="E13" i="15"/>
  <c r="F13" i="15"/>
  <c r="R19" i="15"/>
  <c r="S19" i="15"/>
  <c r="T19" i="15"/>
  <c r="U19" i="15"/>
  <c r="V19" i="15"/>
  <c r="W19" i="15"/>
  <c r="D20" i="15"/>
  <c r="E20" i="15"/>
  <c r="F20" i="15"/>
  <c r="G20" i="15"/>
  <c r="H20" i="15"/>
  <c r="I20" i="15"/>
  <c r="R20" i="15"/>
  <c r="S20" i="15"/>
  <c r="T20" i="15"/>
  <c r="U20" i="15"/>
  <c r="V20" i="15"/>
  <c r="W20" i="15"/>
  <c r="R21" i="15"/>
  <c r="S21" i="15"/>
  <c r="T21" i="15"/>
  <c r="U21" i="15"/>
  <c r="V21" i="15"/>
  <c r="W21" i="15"/>
  <c r="D22" i="15"/>
  <c r="E22" i="15"/>
  <c r="F22" i="15"/>
  <c r="G22" i="15"/>
  <c r="H22" i="15"/>
  <c r="I22" i="15"/>
  <c r="D23" i="15"/>
  <c r="E23" i="15"/>
  <c r="F23" i="15"/>
  <c r="G23" i="15"/>
  <c r="H23" i="15"/>
  <c r="I23" i="15"/>
  <c r="R25" i="15"/>
  <c r="T25" i="15"/>
  <c r="D26" i="15"/>
  <c r="E26" i="15"/>
  <c r="F26" i="15"/>
  <c r="G26" i="15"/>
  <c r="H26" i="15"/>
  <c r="I26" i="15"/>
  <c r="R26" i="15"/>
  <c r="S26" i="15"/>
  <c r="T26" i="15"/>
  <c r="D27" i="15"/>
  <c r="E27" i="15"/>
  <c r="F27" i="15"/>
  <c r="G27" i="15"/>
  <c r="H27" i="15"/>
  <c r="I27" i="15"/>
  <c r="R27" i="15"/>
  <c r="T27" i="15"/>
  <c r="D28" i="15"/>
  <c r="E28" i="15"/>
  <c r="F28" i="15"/>
  <c r="G28" i="15"/>
  <c r="H28" i="15"/>
  <c r="I28" i="15"/>
  <c r="D29" i="15"/>
  <c r="E29" i="15"/>
  <c r="F29" i="15"/>
  <c r="G29" i="15"/>
  <c r="H29" i="15"/>
  <c r="I29" i="15"/>
  <c r="T29" i="15"/>
  <c r="D30" i="15"/>
  <c r="E30" i="15"/>
  <c r="F30" i="15"/>
  <c r="G30" i="15"/>
  <c r="H30" i="15"/>
  <c r="I30" i="15"/>
  <c r="S30" i="15"/>
  <c r="T30" i="15"/>
  <c r="D31" i="15"/>
  <c r="E31" i="15"/>
  <c r="F31" i="15"/>
  <c r="G31" i="15"/>
  <c r="H31" i="15"/>
  <c r="I31" i="15"/>
  <c r="T32" i="15"/>
  <c r="S33" i="15"/>
  <c r="T33" i="15"/>
  <c r="A34" i="15"/>
  <c r="D34" i="15"/>
  <c r="E34" i="15"/>
  <c r="F34" i="15"/>
  <c r="G34" i="15"/>
  <c r="H34" i="15"/>
  <c r="I34" i="15"/>
  <c r="A35" i="15"/>
  <c r="D35" i="15"/>
  <c r="E35" i="15"/>
  <c r="F35" i="15"/>
  <c r="G35" i="15"/>
  <c r="H35" i="15"/>
  <c r="I35" i="15"/>
  <c r="R35" i="15"/>
  <c r="S35" i="15"/>
  <c r="A36" i="15"/>
  <c r="D36" i="15"/>
  <c r="E36" i="15"/>
  <c r="F36" i="15"/>
  <c r="G36" i="15"/>
  <c r="H36" i="15"/>
  <c r="I36" i="15"/>
  <c r="R36" i="15"/>
  <c r="S36" i="15"/>
  <c r="A37" i="15"/>
  <c r="D37" i="15"/>
  <c r="E37" i="15"/>
  <c r="F37" i="15"/>
  <c r="G37" i="15"/>
  <c r="H37" i="15"/>
  <c r="I37" i="15"/>
  <c r="A38" i="15"/>
  <c r="D38" i="15"/>
  <c r="E38" i="15"/>
  <c r="F38" i="15"/>
  <c r="G38" i="15"/>
  <c r="H38" i="15"/>
  <c r="I38" i="15"/>
  <c r="D39" i="15"/>
  <c r="E39" i="15"/>
  <c r="F39" i="15"/>
  <c r="G39" i="15"/>
  <c r="H39" i="15"/>
  <c r="I39" i="15"/>
  <c r="D42" i="15"/>
  <c r="E42" i="15"/>
  <c r="F42" i="15"/>
  <c r="G42" i="15"/>
  <c r="H42" i="15"/>
  <c r="I42" i="15"/>
  <c r="D43" i="15"/>
  <c r="E43" i="15"/>
  <c r="F43" i="15"/>
  <c r="G43" i="15"/>
  <c r="H43" i="15"/>
  <c r="I43" i="15"/>
  <c r="D44" i="15"/>
  <c r="E44" i="15"/>
  <c r="F44" i="15"/>
  <c r="G44" i="15"/>
  <c r="H44" i="15"/>
  <c r="I44" i="15"/>
  <c r="D45" i="15"/>
  <c r="E45" i="15"/>
  <c r="F45" i="15"/>
  <c r="G45" i="15"/>
  <c r="H45" i="15"/>
  <c r="I45" i="15"/>
  <c r="D46" i="15"/>
  <c r="E46" i="15"/>
  <c r="F46" i="15"/>
  <c r="G46" i="15"/>
  <c r="H46" i="15"/>
  <c r="I46" i="15"/>
  <c r="D47" i="15"/>
  <c r="E47" i="15"/>
  <c r="F47" i="15"/>
  <c r="G47" i="15"/>
  <c r="H47" i="15"/>
  <c r="I47" i="15"/>
  <c r="E50" i="15"/>
  <c r="F50" i="15"/>
  <c r="G50" i="15"/>
  <c r="H50" i="15"/>
  <c r="I50" i="15"/>
  <c r="E51" i="15"/>
  <c r="F51" i="15"/>
  <c r="G51" i="15"/>
  <c r="H51" i="15"/>
  <c r="I51" i="15"/>
  <c r="E52" i="15"/>
  <c r="G52" i="15"/>
  <c r="H52" i="15"/>
  <c r="I52" i="15"/>
  <c r="E53" i="15"/>
  <c r="G53" i="15"/>
  <c r="H53" i="15"/>
  <c r="I53" i="15"/>
  <c r="E54" i="15"/>
  <c r="F54" i="15"/>
  <c r="G54" i="15"/>
  <c r="H54" i="15"/>
  <c r="I54" i="15"/>
  <c r="G55" i="15"/>
  <c r="H55" i="15"/>
  <c r="I55" i="15"/>
  <c r="E58" i="15"/>
  <c r="F58" i="15"/>
  <c r="G58" i="15"/>
  <c r="H58" i="15"/>
  <c r="I58" i="15"/>
  <c r="E59" i="15"/>
  <c r="F59" i="15"/>
  <c r="G59" i="15"/>
  <c r="H59" i="15"/>
  <c r="I59" i="15"/>
  <c r="E60" i="15"/>
  <c r="F60" i="15"/>
  <c r="G60" i="15"/>
  <c r="H60" i="15"/>
  <c r="I60" i="15"/>
  <c r="E61" i="15"/>
  <c r="F61" i="15"/>
  <c r="G61" i="15"/>
  <c r="H61" i="15"/>
  <c r="I61" i="15"/>
  <c r="E62" i="15"/>
  <c r="F62" i="15"/>
  <c r="G62" i="15"/>
  <c r="H62" i="15"/>
  <c r="I62" i="15"/>
  <c r="E63" i="15"/>
  <c r="F63" i="15"/>
  <c r="G63" i="15"/>
  <c r="H63" i="15"/>
  <c r="I63" i="15"/>
  <c r="E66" i="15"/>
  <c r="F66" i="15"/>
  <c r="G66" i="15"/>
  <c r="H66" i="15"/>
  <c r="I66" i="15"/>
  <c r="E67" i="15"/>
  <c r="F67" i="15"/>
  <c r="G67" i="15"/>
  <c r="H67" i="15"/>
  <c r="I67" i="15"/>
  <c r="E68" i="15"/>
  <c r="F68" i="15"/>
  <c r="G68" i="15"/>
  <c r="H68" i="15"/>
  <c r="I68" i="15"/>
  <c r="E69" i="15"/>
  <c r="F69" i="15"/>
  <c r="G69" i="15"/>
  <c r="H69" i="15"/>
  <c r="I69" i="15"/>
  <c r="E70" i="15"/>
  <c r="F70" i="15"/>
  <c r="G70" i="15"/>
  <c r="H70" i="15"/>
  <c r="I70" i="15"/>
  <c r="E71" i="15"/>
  <c r="F71" i="15"/>
  <c r="G71" i="15"/>
  <c r="H71" i="15"/>
  <c r="D74" i="15"/>
  <c r="E74" i="15"/>
  <c r="F74" i="15"/>
  <c r="G74" i="15"/>
  <c r="H74" i="15"/>
  <c r="I74" i="15"/>
  <c r="D75" i="15"/>
  <c r="E75" i="15"/>
  <c r="F75" i="15"/>
  <c r="G75" i="15"/>
  <c r="H75" i="15"/>
  <c r="I75" i="15"/>
  <c r="D76" i="15"/>
  <c r="E76" i="15"/>
  <c r="F76" i="15"/>
  <c r="G76" i="15"/>
  <c r="H76" i="15"/>
  <c r="I76" i="15"/>
  <c r="D77" i="15"/>
  <c r="E77" i="15"/>
  <c r="F77" i="15"/>
  <c r="G77" i="15"/>
  <c r="H77" i="15"/>
  <c r="I77" i="15"/>
  <c r="D78" i="15"/>
  <c r="E78" i="15"/>
  <c r="F78" i="15"/>
  <c r="G78" i="15"/>
  <c r="H78" i="15"/>
  <c r="I78" i="15"/>
  <c r="D79" i="15"/>
  <c r="E79" i="15"/>
  <c r="F79" i="15"/>
  <c r="G79" i="15"/>
  <c r="H79" i="15"/>
  <c r="I79" i="15"/>
  <c r="D82" i="15"/>
  <c r="E82" i="15"/>
  <c r="F82" i="15"/>
  <c r="G82" i="15"/>
  <c r="H82" i="15"/>
  <c r="I82" i="15"/>
  <c r="D83" i="15"/>
  <c r="E83" i="15"/>
  <c r="F83" i="15"/>
  <c r="G83" i="15"/>
  <c r="H83" i="15"/>
  <c r="I83" i="15"/>
  <c r="D84" i="15"/>
  <c r="E84" i="15"/>
  <c r="F84" i="15"/>
  <c r="G84" i="15"/>
  <c r="H84" i="15"/>
  <c r="I84" i="15"/>
  <c r="D85" i="15"/>
  <c r="E85" i="15"/>
  <c r="F85" i="15"/>
  <c r="G85" i="15"/>
  <c r="H85" i="15"/>
  <c r="I85" i="15"/>
  <c r="D86" i="15"/>
  <c r="E86" i="15"/>
  <c r="F86" i="15"/>
  <c r="G86" i="15"/>
  <c r="H86" i="15"/>
  <c r="I86" i="15"/>
  <c r="D87" i="15"/>
  <c r="E87" i="15"/>
  <c r="F87" i="15"/>
  <c r="G87" i="15"/>
  <c r="H87" i="15"/>
  <c r="I87" i="15"/>
  <c r="D90" i="15"/>
  <c r="E90" i="15"/>
  <c r="F90" i="15"/>
  <c r="G90" i="15"/>
  <c r="H90" i="15"/>
  <c r="I90" i="15"/>
  <c r="D91" i="15"/>
  <c r="E91" i="15"/>
  <c r="F91" i="15"/>
  <c r="G91" i="15"/>
  <c r="H91" i="15"/>
  <c r="I91" i="15"/>
  <c r="D92" i="15"/>
  <c r="E92" i="15"/>
  <c r="F92" i="15"/>
  <c r="G92" i="15"/>
  <c r="H92" i="15"/>
  <c r="I92" i="15"/>
  <c r="D93" i="15"/>
  <c r="E93" i="15"/>
  <c r="F93" i="15"/>
  <c r="G93" i="15"/>
  <c r="H93" i="15"/>
  <c r="I93" i="15"/>
  <c r="D94" i="15"/>
  <c r="E94" i="15"/>
  <c r="F94" i="15"/>
  <c r="G94" i="15"/>
  <c r="H94" i="15"/>
  <c r="I94" i="15"/>
  <c r="D95" i="15"/>
  <c r="E95" i="15"/>
  <c r="F95" i="15"/>
  <c r="G95" i="15"/>
  <c r="H95" i="15"/>
  <c r="I95" i="15"/>
  <c r="D97" i="15"/>
  <c r="E97" i="15"/>
  <c r="F97" i="15"/>
  <c r="G97" i="15"/>
  <c r="H97" i="15"/>
  <c r="I97" i="15"/>
  <c r="D98" i="15"/>
  <c r="E98" i="15"/>
  <c r="F98" i="15"/>
  <c r="G98" i="15"/>
  <c r="H98" i="15"/>
  <c r="I98" i="15"/>
  <c r="D99" i="15"/>
  <c r="E99" i="15"/>
  <c r="F99" i="15"/>
  <c r="G99" i="15"/>
  <c r="H99" i="15"/>
  <c r="I99" i="15"/>
  <c r="D101" i="15"/>
  <c r="E101" i="15"/>
  <c r="F101" i="15"/>
  <c r="G101" i="15"/>
  <c r="H101" i="15"/>
  <c r="I101" i="15"/>
  <c r="D102" i="15"/>
  <c r="E102" i="15"/>
  <c r="F102" i="15"/>
  <c r="G102" i="15"/>
  <c r="H102" i="15"/>
  <c r="I102" i="15"/>
  <c r="D103" i="15"/>
  <c r="E103" i="15"/>
  <c r="F103" i="15"/>
  <c r="G103" i="15"/>
  <c r="H103" i="15"/>
  <c r="I103" i="15"/>
  <c r="D105" i="15"/>
  <c r="E105" i="15"/>
  <c r="F105" i="15"/>
  <c r="G105" i="15"/>
  <c r="H105" i="15"/>
  <c r="I105" i="15"/>
  <c r="I121" i="15"/>
  <c r="J121" i="15"/>
  <c r="K121" i="15"/>
  <c r="I125" i="15"/>
  <c r="J125" i="15"/>
  <c r="K125" i="15"/>
  <c r="L12" i="42"/>
  <c r="M12" i="42"/>
  <c r="N12" i="42"/>
  <c r="O12" i="42"/>
  <c r="P12" i="42"/>
  <c r="Q12" i="42"/>
  <c r="L13" i="42"/>
  <c r="M13" i="42"/>
  <c r="N13" i="42"/>
  <c r="O13" i="42"/>
  <c r="P13" i="42"/>
  <c r="Q13" i="42"/>
  <c r="L14" i="42"/>
  <c r="M14" i="42"/>
  <c r="N14" i="42"/>
  <c r="O14" i="42"/>
  <c r="P14" i="42"/>
  <c r="Q14" i="42"/>
  <c r="L15" i="42"/>
  <c r="M15" i="42"/>
  <c r="N15" i="42"/>
  <c r="O15" i="42"/>
  <c r="P15" i="42"/>
  <c r="Q15" i="42"/>
  <c r="L16" i="42"/>
  <c r="M16" i="42"/>
  <c r="N16" i="42"/>
  <c r="O16" i="42"/>
  <c r="P16" i="42"/>
  <c r="Q16" i="42"/>
  <c r="L17" i="42"/>
  <c r="M17" i="42"/>
  <c r="N17" i="42"/>
  <c r="O17" i="42"/>
  <c r="P17" i="42"/>
  <c r="Q17" i="42"/>
  <c r="H18" i="42"/>
  <c r="I18" i="42"/>
  <c r="J18" i="42"/>
  <c r="K18" i="42"/>
  <c r="L18" i="42"/>
  <c r="M18" i="42"/>
  <c r="N18" i="42"/>
  <c r="O18" i="42"/>
  <c r="P18" i="42"/>
  <c r="Q18" i="42"/>
  <c r="L20" i="42"/>
  <c r="M20" i="42"/>
  <c r="N20" i="42"/>
  <c r="O20" i="42"/>
  <c r="P20" i="42"/>
  <c r="Q20" i="42"/>
  <c r="L21" i="42"/>
  <c r="M21" i="42"/>
  <c r="N21" i="42"/>
  <c r="O21" i="42"/>
  <c r="P21" i="42"/>
  <c r="Q21" i="42"/>
  <c r="L23" i="42"/>
  <c r="M23" i="42"/>
  <c r="N23" i="42"/>
  <c r="O23" i="42"/>
  <c r="P23" i="42"/>
  <c r="Q23" i="42"/>
  <c r="I24" i="42"/>
  <c r="J24" i="42"/>
  <c r="K24" i="42"/>
  <c r="L24" i="42"/>
  <c r="M24" i="42"/>
  <c r="N24" i="42"/>
  <c r="O24" i="42"/>
  <c r="P24" i="42"/>
  <c r="Q24" i="42"/>
  <c r="I26" i="42"/>
  <c r="J26" i="42"/>
  <c r="K26" i="42"/>
  <c r="L26" i="42"/>
  <c r="M26" i="42"/>
  <c r="N26" i="42"/>
  <c r="O26" i="42"/>
  <c r="P26" i="42"/>
  <c r="Q26" i="42"/>
  <c r="I27" i="42"/>
  <c r="J27" i="42"/>
  <c r="K27" i="42"/>
  <c r="L27" i="42"/>
  <c r="M27" i="42"/>
  <c r="N27" i="42"/>
  <c r="O27" i="42"/>
  <c r="P27" i="42"/>
  <c r="Q27" i="42"/>
  <c r="I28" i="42"/>
  <c r="J28" i="42"/>
  <c r="K28" i="42"/>
  <c r="L28" i="42"/>
  <c r="M28" i="42"/>
  <c r="N28" i="42"/>
  <c r="O28" i="42"/>
  <c r="P28" i="42"/>
  <c r="Q28" i="42"/>
  <c r="I30" i="42"/>
  <c r="J30" i="42"/>
  <c r="K30" i="42"/>
  <c r="L30" i="42"/>
  <c r="M30" i="42"/>
  <c r="N30" i="42"/>
  <c r="O30" i="42"/>
  <c r="P30" i="42"/>
  <c r="Q30" i="42"/>
  <c r="I31" i="42"/>
  <c r="J31" i="42"/>
  <c r="K31" i="42"/>
  <c r="L31" i="42"/>
  <c r="M31" i="42"/>
  <c r="N31" i="42"/>
  <c r="O31" i="42"/>
  <c r="P31" i="42"/>
  <c r="Q31" i="42"/>
  <c r="L33" i="42"/>
  <c r="M33" i="42"/>
  <c r="N33" i="42"/>
  <c r="O33" i="42"/>
  <c r="P33" i="42"/>
  <c r="Q33" i="42"/>
  <c r="I34" i="42"/>
  <c r="J34" i="42"/>
  <c r="K34" i="42"/>
  <c r="L34" i="42"/>
  <c r="M34" i="42"/>
  <c r="N34" i="42"/>
  <c r="O34" i="42"/>
  <c r="P34" i="42"/>
  <c r="Q34" i="42"/>
  <c r="L36" i="42"/>
  <c r="M36" i="42"/>
  <c r="N36" i="42"/>
  <c r="O36" i="42"/>
  <c r="P36" i="42"/>
  <c r="Q36" i="42"/>
  <c r="I37" i="42"/>
  <c r="J37" i="42"/>
  <c r="K37" i="42"/>
  <c r="L37" i="42"/>
  <c r="M37" i="42"/>
  <c r="N37" i="42"/>
  <c r="O37" i="42"/>
  <c r="P37" i="42"/>
  <c r="Q37" i="42"/>
  <c r="I10" i="55"/>
  <c r="J10" i="55"/>
  <c r="K10" i="55"/>
  <c r="I11" i="55"/>
  <c r="J11" i="55"/>
  <c r="K11" i="55"/>
  <c r="L11" i="55"/>
  <c r="M11" i="55"/>
  <c r="N11" i="55"/>
  <c r="O11" i="55"/>
  <c r="P11" i="55"/>
  <c r="Q11" i="55"/>
  <c r="I12" i="55"/>
  <c r="J12" i="55"/>
  <c r="K12" i="55"/>
  <c r="L12" i="55"/>
  <c r="M12" i="55"/>
  <c r="N12" i="55"/>
  <c r="O12" i="55"/>
  <c r="P12" i="55"/>
  <c r="Q12" i="55"/>
  <c r="I13" i="55"/>
  <c r="J13" i="55"/>
  <c r="K13" i="55"/>
  <c r="L13" i="55"/>
  <c r="M13" i="55"/>
  <c r="N13" i="55"/>
  <c r="O13" i="55"/>
  <c r="P13" i="55"/>
  <c r="Q13" i="55"/>
  <c r="I15" i="55"/>
  <c r="J15" i="55"/>
  <c r="K15" i="55"/>
  <c r="L15" i="55"/>
  <c r="M15" i="55"/>
  <c r="N15" i="55"/>
  <c r="O15" i="55"/>
  <c r="P15" i="55"/>
  <c r="Q15" i="55"/>
  <c r="I16" i="55"/>
  <c r="J16" i="55"/>
  <c r="K16" i="55"/>
  <c r="L16" i="55"/>
  <c r="M16" i="55"/>
  <c r="N16" i="55"/>
  <c r="O16" i="55"/>
  <c r="P16" i="55"/>
  <c r="Q16" i="55"/>
  <c r="I17" i="55"/>
  <c r="J17" i="55"/>
  <c r="K17" i="55"/>
  <c r="L17" i="55"/>
  <c r="M17" i="55"/>
  <c r="N17" i="55"/>
  <c r="O17" i="55"/>
  <c r="P17" i="55"/>
  <c r="Q17" i="55"/>
  <c r="L20" i="55"/>
  <c r="M20" i="55"/>
  <c r="N20" i="55"/>
  <c r="O20" i="55"/>
  <c r="P20" i="55"/>
  <c r="Q20" i="55"/>
  <c r="L21" i="55"/>
  <c r="M21" i="55"/>
  <c r="N21" i="55"/>
  <c r="O21" i="55"/>
  <c r="P21" i="55"/>
  <c r="Q21" i="55"/>
  <c r="I22" i="55"/>
  <c r="J22" i="55"/>
  <c r="K22" i="55"/>
  <c r="L22" i="55"/>
  <c r="M22" i="55"/>
  <c r="N22" i="55"/>
  <c r="O22" i="55"/>
  <c r="P22" i="55"/>
  <c r="Q22" i="55"/>
  <c r="L23" i="55"/>
  <c r="M23" i="55"/>
  <c r="N23" i="55"/>
  <c r="O23" i="55"/>
  <c r="P23" i="55"/>
  <c r="Q23" i="55"/>
  <c r="L24" i="55"/>
  <c r="M24" i="55"/>
  <c r="N24" i="55"/>
  <c r="O24" i="55"/>
  <c r="P24" i="55"/>
  <c r="Q24" i="55"/>
  <c r="I25" i="55"/>
  <c r="J25" i="55"/>
  <c r="K25" i="55"/>
  <c r="L25" i="55"/>
  <c r="M25" i="55"/>
  <c r="N25" i="55"/>
  <c r="O25" i="55"/>
  <c r="P25" i="55"/>
  <c r="Q25" i="55"/>
  <c r="L27" i="55"/>
  <c r="M27" i="55"/>
  <c r="N27" i="55"/>
  <c r="O27" i="55"/>
  <c r="P27" i="55"/>
  <c r="Q27" i="55"/>
  <c r="I29" i="55"/>
  <c r="J29" i="55"/>
  <c r="K29" i="55"/>
  <c r="L29" i="55"/>
  <c r="M29" i="55"/>
  <c r="N29" i="55"/>
  <c r="O29" i="55"/>
  <c r="P29" i="55"/>
  <c r="Q29" i="55"/>
  <c r="I30" i="55"/>
  <c r="J30" i="55"/>
  <c r="K30" i="55"/>
  <c r="L30" i="55"/>
  <c r="M30" i="55"/>
  <c r="N30" i="55"/>
  <c r="O30" i="55"/>
  <c r="P30" i="55"/>
  <c r="Q30" i="55"/>
  <c r="I31" i="55"/>
  <c r="J31" i="55"/>
  <c r="K31" i="55"/>
  <c r="L31" i="55"/>
  <c r="M31" i="55"/>
  <c r="N31" i="55"/>
  <c r="O31" i="55"/>
  <c r="P31" i="55"/>
  <c r="Q31" i="55"/>
  <c r="I32" i="55"/>
  <c r="J32" i="55"/>
  <c r="K32" i="55"/>
  <c r="L32" i="55"/>
  <c r="M32" i="55"/>
  <c r="N32" i="55"/>
  <c r="O32" i="55"/>
  <c r="P32" i="55"/>
  <c r="Q32" i="55"/>
  <c r="I34" i="55"/>
  <c r="J34" i="55"/>
  <c r="K34" i="55"/>
  <c r="L34" i="55"/>
  <c r="M34" i="55"/>
  <c r="N34" i="55"/>
  <c r="O34" i="55"/>
  <c r="P34" i="55"/>
  <c r="Q34" i="55"/>
  <c r="I36" i="55"/>
  <c r="J36" i="55"/>
  <c r="K36" i="55"/>
  <c r="L36" i="55"/>
  <c r="M36" i="55"/>
  <c r="N36" i="55"/>
  <c r="O36" i="55"/>
  <c r="P36" i="55"/>
  <c r="Q36" i="55"/>
  <c r="I37" i="55"/>
  <c r="J37" i="55"/>
  <c r="K37" i="55"/>
  <c r="L37" i="55"/>
  <c r="M37" i="55"/>
  <c r="N37" i="55"/>
  <c r="O37" i="55"/>
  <c r="P37" i="55"/>
  <c r="Q37" i="55"/>
  <c r="L39" i="55"/>
  <c r="M39" i="55"/>
  <c r="N39" i="55"/>
  <c r="O39" i="55"/>
  <c r="P39" i="55"/>
  <c r="Q39" i="55"/>
  <c r="I40" i="55"/>
  <c r="J40" i="55"/>
  <c r="K40" i="55"/>
  <c r="L40" i="55"/>
  <c r="M40" i="55"/>
  <c r="N40" i="55"/>
  <c r="O40" i="55"/>
  <c r="P40" i="55"/>
  <c r="Q40" i="55"/>
  <c r="L42" i="55"/>
  <c r="M42" i="55"/>
  <c r="N42" i="55"/>
  <c r="O42" i="55"/>
  <c r="P42" i="55"/>
  <c r="Q42" i="55"/>
  <c r="I43" i="55"/>
  <c r="J43" i="55"/>
  <c r="K43" i="55"/>
  <c r="L43" i="55"/>
  <c r="M43" i="55"/>
  <c r="N43" i="55"/>
  <c r="O43" i="55"/>
  <c r="P43" i="55"/>
  <c r="Q43" i="55"/>
  <c r="H8" i="47"/>
  <c r="I8" i="47"/>
  <c r="J8" i="47"/>
  <c r="K8" i="47"/>
  <c r="L8" i="47"/>
  <c r="M8" i="47"/>
  <c r="N8" i="47"/>
  <c r="O8" i="47"/>
  <c r="P8" i="47"/>
  <c r="Q8" i="47"/>
  <c r="R8" i="47"/>
  <c r="S8" i="47"/>
  <c r="T8" i="47"/>
  <c r="F10" i="47"/>
  <c r="G10" i="47"/>
  <c r="H10" i="47"/>
  <c r="I10" i="47"/>
  <c r="J10" i="47"/>
  <c r="K10" i="47"/>
  <c r="L10" i="47"/>
  <c r="M10" i="47"/>
  <c r="N10" i="47"/>
  <c r="O10" i="47"/>
  <c r="P10" i="47"/>
  <c r="Q10" i="47"/>
  <c r="R10" i="47"/>
  <c r="S10" i="47"/>
  <c r="T10" i="47"/>
  <c r="H11" i="47"/>
  <c r="I11" i="47"/>
  <c r="J11" i="47"/>
  <c r="K11" i="47"/>
  <c r="L11" i="47"/>
  <c r="M11" i="47"/>
  <c r="N11" i="47"/>
  <c r="O11" i="47"/>
  <c r="P11" i="47"/>
  <c r="Q11" i="47"/>
  <c r="R11" i="47"/>
  <c r="S11" i="47"/>
  <c r="T11" i="47"/>
  <c r="F12" i="47"/>
  <c r="G12" i="47"/>
  <c r="H12" i="47"/>
  <c r="I12" i="47"/>
  <c r="J12" i="47"/>
  <c r="K12" i="47"/>
  <c r="L12" i="47"/>
  <c r="M12" i="47"/>
  <c r="N12" i="47"/>
  <c r="O12" i="47"/>
  <c r="P12" i="47"/>
  <c r="Q12" i="47"/>
  <c r="R12" i="47"/>
  <c r="S12" i="47"/>
  <c r="T12" i="47"/>
  <c r="D14" i="47"/>
  <c r="H14" i="47"/>
  <c r="I14" i="47"/>
  <c r="J14" i="47"/>
  <c r="K14" i="47"/>
  <c r="L14" i="47"/>
  <c r="M14" i="47"/>
  <c r="N14" i="47"/>
  <c r="O14" i="47"/>
  <c r="P14" i="47"/>
  <c r="Q14" i="47"/>
  <c r="R14" i="47"/>
  <c r="S14" i="47"/>
  <c r="T14" i="47"/>
  <c r="F15" i="47"/>
  <c r="G15" i="47"/>
  <c r="H15" i="47"/>
  <c r="I15" i="47"/>
  <c r="J15" i="47"/>
  <c r="K15" i="47"/>
  <c r="L15" i="47"/>
  <c r="M15" i="47"/>
  <c r="N15" i="47"/>
  <c r="O15" i="47"/>
  <c r="P15" i="47"/>
  <c r="Q15" i="47"/>
  <c r="R15" i="47"/>
  <c r="S15" i="47"/>
  <c r="T15" i="47"/>
  <c r="H17" i="47"/>
  <c r="I17" i="47"/>
  <c r="J17" i="47"/>
  <c r="K17" i="47"/>
  <c r="L17" i="47"/>
  <c r="M17" i="47"/>
  <c r="N17" i="47"/>
  <c r="O17" i="47"/>
  <c r="P17" i="47"/>
  <c r="Q17" i="47"/>
  <c r="R17" i="47"/>
  <c r="S17" i="47"/>
  <c r="T17" i="47"/>
  <c r="F18" i="47"/>
  <c r="G18" i="47"/>
  <c r="H18" i="47"/>
  <c r="I18" i="47"/>
  <c r="J18" i="47"/>
  <c r="K18" i="47"/>
  <c r="L18" i="47"/>
  <c r="M18" i="47"/>
  <c r="N18" i="47"/>
  <c r="O18" i="47"/>
  <c r="P18" i="47"/>
  <c r="Q18" i="47"/>
  <c r="R18" i="47"/>
  <c r="S18" i="47"/>
  <c r="T18" i="47"/>
  <c r="H20" i="47"/>
  <c r="I20" i="47"/>
  <c r="J20" i="47"/>
  <c r="K20" i="47"/>
  <c r="L20" i="47"/>
  <c r="M20" i="47"/>
  <c r="N20" i="47"/>
  <c r="O20" i="47"/>
  <c r="P20" i="47"/>
  <c r="Q20" i="47"/>
  <c r="R20" i="47"/>
  <c r="S20" i="47"/>
  <c r="T20" i="47"/>
  <c r="F21" i="47"/>
  <c r="G21" i="47"/>
  <c r="H21" i="47"/>
  <c r="I21" i="47"/>
  <c r="J21" i="47"/>
  <c r="K21" i="47"/>
  <c r="L21" i="47"/>
  <c r="M21" i="47"/>
  <c r="N21" i="47"/>
  <c r="O21" i="47"/>
  <c r="P21" i="47"/>
  <c r="Q21" i="47"/>
  <c r="R21" i="47"/>
  <c r="S21" i="47"/>
  <c r="T21" i="47"/>
  <c r="J23" i="47"/>
  <c r="K23" i="47"/>
  <c r="L23" i="47"/>
  <c r="M23" i="47"/>
  <c r="N23" i="47"/>
  <c r="O23" i="47"/>
  <c r="P23" i="47"/>
  <c r="Q23" i="47"/>
  <c r="R23" i="47"/>
  <c r="S23" i="47"/>
  <c r="T23" i="47"/>
  <c r="J24" i="47"/>
  <c r="K24" i="47"/>
  <c r="L24" i="47"/>
  <c r="M24" i="47"/>
  <c r="N24" i="47"/>
  <c r="O24" i="47"/>
  <c r="P24" i="47"/>
  <c r="Q24" i="47"/>
  <c r="R24" i="47"/>
  <c r="S24" i="47"/>
  <c r="T24" i="47"/>
  <c r="J25" i="47"/>
  <c r="K25" i="47"/>
  <c r="L25" i="47"/>
  <c r="M25" i="47"/>
  <c r="N25" i="47"/>
  <c r="O25" i="47"/>
  <c r="P25" i="47"/>
  <c r="Q25" i="47"/>
  <c r="R25" i="47"/>
  <c r="S25" i="47"/>
  <c r="T25" i="47"/>
  <c r="J27" i="47"/>
  <c r="K27" i="47"/>
  <c r="L27" i="47"/>
  <c r="M27" i="47"/>
  <c r="N27" i="47"/>
  <c r="O27" i="47"/>
  <c r="P27" i="47"/>
  <c r="Q27" i="47"/>
  <c r="R27" i="47"/>
  <c r="S27" i="47"/>
  <c r="T27" i="47"/>
  <c r="J28" i="47"/>
  <c r="K28" i="47"/>
  <c r="L28" i="47"/>
  <c r="M28" i="47"/>
  <c r="N28" i="47"/>
  <c r="O28" i="47"/>
  <c r="P28" i="47"/>
  <c r="Q28" i="47"/>
  <c r="R28" i="47"/>
  <c r="S28" i="47"/>
  <c r="T28" i="47"/>
  <c r="U28" i="47"/>
  <c r="C31" i="47"/>
  <c r="D31" i="47"/>
  <c r="D32" i="47"/>
  <c r="F38" i="47"/>
  <c r="G38" i="47"/>
  <c r="H38" i="47"/>
  <c r="I38" i="47"/>
  <c r="J38" i="47"/>
  <c r="K38" i="47"/>
  <c r="L38" i="47"/>
  <c r="M38" i="47"/>
  <c r="N38" i="47"/>
  <c r="O38" i="47"/>
  <c r="P38" i="47"/>
  <c r="Q38" i="47"/>
  <c r="R38" i="47"/>
  <c r="S38" i="47"/>
  <c r="T38" i="47"/>
  <c r="F40" i="47"/>
  <c r="G40" i="47"/>
  <c r="H40" i="47"/>
  <c r="I40" i="47"/>
  <c r="J40" i="47"/>
  <c r="K40" i="47"/>
  <c r="L40" i="47"/>
  <c r="M40" i="47"/>
  <c r="N40" i="47"/>
  <c r="O40" i="47"/>
  <c r="P40" i="47"/>
  <c r="Q40" i="47"/>
  <c r="R40" i="47"/>
  <c r="S40" i="47"/>
  <c r="T40" i="47"/>
  <c r="F41" i="47"/>
  <c r="G41" i="47"/>
  <c r="H41" i="47"/>
  <c r="I41" i="47"/>
  <c r="J41" i="47"/>
  <c r="K41" i="47"/>
  <c r="L41" i="47"/>
  <c r="M41" i="47"/>
  <c r="N41" i="47"/>
  <c r="O41" i="47"/>
  <c r="P41" i="47"/>
  <c r="Q41" i="47"/>
  <c r="R41" i="47"/>
  <c r="S41" i="47"/>
  <c r="T41" i="47"/>
  <c r="F42" i="47"/>
  <c r="G42" i="47"/>
  <c r="H42" i="47"/>
  <c r="I42" i="47"/>
  <c r="J42" i="47"/>
  <c r="K42" i="47"/>
  <c r="L42" i="47"/>
  <c r="M42" i="47"/>
  <c r="N42" i="47"/>
  <c r="O42" i="47"/>
  <c r="P42" i="47"/>
  <c r="Q42" i="47"/>
  <c r="R42" i="47"/>
  <c r="S42" i="47"/>
  <c r="T42" i="47"/>
  <c r="F45" i="47"/>
  <c r="G45" i="47"/>
  <c r="H45" i="47"/>
  <c r="I45" i="47"/>
  <c r="J45" i="47"/>
  <c r="K45" i="47"/>
  <c r="L45" i="47"/>
  <c r="M45" i="47"/>
  <c r="N45" i="47"/>
  <c r="O45" i="47"/>
  <c r="P45" i="47"/>
  <c r="Q45" i="47"/>
  <c r="R45" i="47"/>
  <c r="S45" i="47"/>
  <c r="T45" i="47"/>
  <c r="F46" i="47"/>
  <c r="G46" i="47"/>
  <c r="H46" i="47"/>
  <c r="I46" i="47"/>
  <c r="J46" i="47"/>
  <c r="K46" i="47"/>
  <c r="L46" i="47"/>
  <c r="M46" i="47"/>
  <c r="N46" i="47"/>
  <c r="O46" i="47"/>
  <c r="P46" i="47"/>
  <c r="Q46" i="47"/>
  <c r="R46" i="47"/>
  <c r="S46" i="47"/>
  <c r="T46" i="47"/>
  <c r="F47" i="47"/>
  <c r="G47" i="47"/>
  <c r="H47" i="47"/>
  <c r="I47" i="47"/>
  <c r="J47" i="47"/>
  <c r="K47" i="47"/>
  <c r="L47" i="47"/>
  <c r="M47" i="47"/>
  <c r="N47" i="47"/>
  <c r="O47" i="47"/>
  <c r="P47" i="47"/>
  <c r="Q47" i="47"/>
  <c r="R47" i="47"/>
  <c r="S47" i="47"/>
  <c r="T47" i="47"/>
  <c r="F49" i="47"/>
  <c r="G49" i="47"/>
  <c r="H49" i="47"/>
  <c r="I49" i="47"/>
  <c r="J49" i="47"/>
  <c r="K49" i="47"/>
  <c r="L49" i="47"/>
  <c r="M49" i="47"/>
  <c r="N49" i="47"/>
  <c r="O49" i="47"/>
  <c r="P49" i="47"/>
  <c r="Q49" i="47"/>
  <c r="R49" i="47"/>
  <c r="S49" i="47"/>
  <c r="T49" i="47"/>
  <c r="G50" i="47"/>
  <c r="H50" i="47"/>
  <c r="I50" i="47"/>
  <c r="J50" i="47"/>
  <c r="K50" i="47"/>
  <c r="L50" i="47"/>
  <c r="M50" i="47"/>
  <c r="N50" i="47"/>
  <c r="O50" i="47"/>
  <c r="P50" i="47"/>
  <c r="Q50" i="47"/>
  <c r="R50" i="47"/>
  <c r="S50" i="47"/>
  <c r="T50" i="47"/>
  <c r="U6" i="5"/>
  <c r="V6" i="5"/>
  <c r="U7" i="5"/>
  <c r="V7" i="5"/>
  <c r="U9" i="5"/>
  <c r="V9" i="5"/>
  <c r="U11" i="5"/>
  <c r="V11" i="5"/>
  <c r="V12" i="5"/>
  <c r="F13" i="5"/>
  <c r="J13" i="5"/>
  <c r="F14" i="5"/>
  <c r="J14" i="5"/>
  <c r="U14" i="5"/>
  <c r="V14" i="5"/>
  <c r="J15" i="5"/>
  <c r="J16" i="5"/>
  <c r="U16" i="5"/>
  <c r="V16" i="5"/>
  <c r="F19" i="5"/>
  <c r="J19" i="5"/>
  <c r="U26" i="5"/>
  <c r="I8" i="27"/>
  <c r="F9" i="27"/>
  <c r="G9" i="27"/>
  <c r="H9" i="27"/>
  <c r="I9" i="27"/>
  <c r="J9" i="27"/>
  <c r="K9" i="27"/>
  <c r="L9" i="27"/>
  <c r="M9" i="27"/>
  <c r="N9" i="27"/>
  <c r="O9" i="27"/>
  <c r="P9" i="27"/>
  <c r="Q9" i="27"/>
  <c r="R9" i="27"/>
  <c r="S9" i="27"/>
  <c r="T9" i="27"/>
  <c r="F10" i="27"/>
  <c r="G10" i="27"/>
  <c r="H10" i="27"/>
  <c r="I10" i="27"/>
  <c r="J10" i="27"/>
  <c r="K10" i="27"/>
  <c r="L10" i="27"/>
  <c r="M10" i="27"/>
  <c r="N10" i="27"/>
  <c r="O10" i="27"/>
  <c r="P10" i="27"/>
  <c r="Q10" i="27"/>
  <c r="R10" i="27"/>
  <c r="S10" i="27"/>
  <c r="T10" i="27"/>
  <c r="F11" i="27"/>
  <c r="G11" i="27"/>
  <c r="I11" i="27"/>
  <c r="J11" i="27"/>
  <c r="K11" i="27"/>
  <c r="L11" i="27"/>
  <c r="M11" i="27"/>
  <c r="N11" i="27"/>
  <c r="O11" i="27"/>
  <c r="P11" i="27"/>
  <c r="Q11" i="27"/>
  <c r="R11" i="27"/>
  <c r="S11" i="27"/>
  <c r="T11" i="27"/>
  <c r="K13" i="27"/>
  <c r="M13" i="27"/>
  <c r="N13" i="27"/>
  <c r="O13" i="27"/>
  <c r="P13" i="27"/>
  <c r="Q13" i="27"/>
  <c r="R13" i="27"/>
  <c r="S13" i="27"/>
  <c r="T13" i="27"/>
  <c r="F15" i="27"/>
  <c r="G15" i="27"/>
  <c r="H15" i="27"/>
  <c r="I15" i="27"/>
  <c r="J15" i="27"/>
  <c r="K15" i="27"/>
  <c r="L15" i="27"/>
  <c r="M15" i="27"/>
  <c r="N15" i="27"/>
  <c r="O15" i="27"/>
  <c r="P15" i="27"/>
  <c r="Q15" i="27"/>
  <c r="R15" i="27"/>
  <c r="S15" i="27"/>
  <c r="T15" i="27"/>
  <c r="I16" i="27"/>
  <c r="J16" i="27"/>
  <c r="D17" i="27"/>
  <c r="I17" i="27"/>
  <c r="J17" i="27"/>
  <c r="L17" i="27"/>
  <c r="M17" i="27"/>
  <c r="N17" i="27"/>
  <c r="O17" i="27"/>
  <c r="P17" i="27"/>
  <c r="Q17" i="27"/>
  <c r="R17" i="27"/>
  <c r="S17" i="27"/>
  <c r="T17" i="27"/>
  <c r="F18" i="27"/>
  <c r="G18" i="27"/>
  <c r="H18" i="27"/>
  <c r="I18" i="27"/>
  <c r="J18" i="27"/>
  <c r="K18" i="27"/>
  <c r="L18" i="27"/>
  <c r="M18" i="27"/>
  <c r="N18" i="27"/>
  <c r="O18" i="27"/>
  <c r="P18" i="27"/>
  <c r="Q18" i="27"/>
  <c r="R18" i="27"/>
  <c r="S18" i="27"/>
  <c r="T18" i="27"/>
  <c r="I20" i="27"/>
  <c r="J20" i="27"/>
  <c r="L20" i="27"/>
  <c r="M20" i="27"/>
  <c r="N20" i="27"/>
  <c r="O20" i="27"/>
  <c r="P20" i="27"/>
  <c r="Q20" i="27"/>
  <c r="R20" i="27"/>
  <c r="S20" i="27"/>
  <c r="T20" i="27"/>
  <c r="I21" i="27"/>
  <c r="J21" i="27"/>
  <c r="K21" i="27"/>
  <c r="L21" i="27"/>
  <c r="M21" i="27"/>
  <c r="N21" i="27"/>
  <c r="O21" i="27"/>
  <c r="P21" i="27"/>
  <c r="Q21" i="27"/>
  <c r="R21" i="27"/>
  <c r="S21" i="27"/>
  <c r="T21" i="27"/>
  <c r="F22" i="27"/>
  <c r="G22" i="27"/>
  <c r="H22" i="27"/>
  <c r="I22" i="27"/>
  <c r="J22" i="27"/>
  <c r="K22" i="27"/>
  <c r="L22" i="27"/>
  <c r="M22" i="27"/>
  <c r="N22" i="27"/>
  <c r="O22" i="27"/>
  <c r="P22" i="27"/>
  <c r="Q22" i="27"/>
  <c r="R22" i="27"/>
  <c r="S22" i="27"/>
  <c r="T22" i="27"/>
  <c r="J24" i="27"/>
  <c r="K24" i="27"/>
  <c r="L24" i="27"/>
  <c r="M24" i="27"/>
  <c r="N24" i="27"/>
  <c r="O24" i="27"/>
  <c r="P24" i="27"/>
  <c r="Q24" i="27"/>
  <c r="R24" i="27"/>
  <c r="S24" i="27"/>
  <c r="T24" i="27"/>
  <c r="J25" i="27"/>
  <c r="K25" i="27"/>
  <c r="L25" i="27"/>
  <c r="M25" i="27"/>
  <c r="N25" i="27"/>
  <c r="O25" i="27"/>
  <c r="P25" i="27"/>
  <c r="Q25" i="27"/>
  <c r="R25" i="27"/>
  <c r="S25" i="27"/>
  <c r="T25" i="27"/>
  <c r="J27" i="27"/>
  <c r="K27" i="27"/>
  <c r="L27" i="27"/>
  <c r="M27" i="27"/>
  <c r="N27" i="27"/>
  <c r="O27" i="27"/>
  <c r="P27" i="27"/>
  <c r="Q27" i="27"/>
  <c r="R27" i="27"/>
  <c r="S27" i="27"/>
  <c r="T27" i="27"/>
  <c r="J28" i="27"/>
  <c r="K28" i="27"/>
  <c r="L28" i="27"/>
  <c r="M28" i="27"/>
  <c r="N28" i="27"/>
  <c r="O28" i="27"/>
  <c r="P28" i="27"/>
  <c r="Q28" i="27"/>
  <c r="R28" i="27"/>
  <c r="S28" i="27"/>
  <c r="T28" i="27"/>
  <c r="J29" i="27"/>
  <c r="K29" i="27"/>
  <c r="L29" i="27"/>
  <c r="M29" i="27"/>
  <c r="N29" i="27"/>
  <c r="O29" i="27"/>
  <c r="P29" i="27"/>
  <c r="Q29" i="27"/>
  <c r="R29" i="27"/>
  <c r="S29" i="27"/>
  <c r="T29" i="27"/>
  <c r="J30" i="27"/>
  <c r="K30" i="27"/>
  <c r="L30" i="27"/>
  <c r="M30" i="27"/>
  <c r="N30" i="27"/>
  <c r="O30" i="27"/>
  <c r="P30" i="27"/>
  <c r="Q30" i="27"/>
  <c r="R30" i="27"/>
  <c r="S30" i="27"/>
  <c r="T30" i="27"/>
  <c r="J31" i="27"/>
  <c r="K31" i="27"/>
  <c r="L31" i="27"/>
  <c r="M31" i="27"/>
  <c r="N31" i="27"/>
  <c r="O31" i="27"/>
  <c r="P31" i="27"/>
  <c r="Q31" i="27"/>
  <c r="R31" i="27"/>
  <c r="S31" i="27"/>
  <c r="T31" i="27"/>
  <c r="J32" i="27"/>
  <c r="K32" i="27"/>
  <c r="L32" i="27"/>
  <c r="M32" i="27"/>
  <c r="N32" i="27"/>
  <c r="O32" i="27"/>
  <c r="P32" i="27"/>
  <c r="Q32" i="27"/>
  <c r="R32" i="27"/>
  <c r="S32" i="27"/>
  <c r="T32" i="27"/>
  <c r="U32" i="27"/>
  <c r="C34" i="27"/>
  <c r="D34" i="27"/>
  <c r="D35" i="27"/>
  <c r="F37" i="27"/>
  <c r="G37" i="27"/>
  <c r="H37" i="27"/>
  <c r="F38" i="27"/>
  <c r="G38" i="27"/>
  <c r="H38" i="27"/>
  <c r="F44" i="27"/>
  <c r="G44" i="27"/>
  <c r="H44" i="27"/>
  <c r="I44" i="27"/>
  <c r="J44" i="27"/>
  <c r="K44" i="27"/>
  <c r="L44" i="27"/>
  <c r="M44" i="27"/>
  <c r="N44" i="27"/>
  <c r="O44" i="27"/>
  <c r="P44" i="27"/>
  <c r="Q44" i="27"/>
  <c r="R44" i="27"/>
  <c r="S44" i="27"/>
  <c r="F46" i="27"/>
  <c r="G46" i="27"/>
  <c r="H46" i="27"/>
  <c r="I46" i="27"/>
  <c r="J46" i="27"/>
  <c r="K46" i="27"/>
  <c r="L46" i="27"/>
  <c r="M46" i="27"/>
  <c r="N46" i="27"/>
  <c r="O46" i="27"/>
  <c r="P46" i="27"/>
  <c r="Q46" i="27"/>
  <c r="R46" i="27"/>
  <c r="S46" i="27"/>
  <c r="F47" i="27"/>
  <c r="G47" i="27"/>
  <c r="H47" i="27"/>
  <c r="I47" i="27"/>
  <c r="J47" i="27"/>
  <c r="K47" i="27"/>
  <c r="L47" i="27"/>
  <c r="M47" i="27"/>
  <c r="N47" i="27"/>
  <c r="O47" i="27"/>
  <c r="P47" i="27"/>
  <c r="Q47" i="27"/>
  <c r="R47" i="27"/>
  <c r="S47" i="27"/>
  <c r="F48" i="27"/>
  <c r="G48" i="27"/>
  <c r="H48" i="27"/>
  <c r="I48" i="27"/>
  <c r="J48" i="27"/>
  <c r="K48" i="27"/>
  <c r="L48" i="27"/>
  <c r="M48" i="27"/>
  <c r="N48" i="27"/>
  <c r="O48" i="27"/>
  <c r="P48" i="27"/>
  <c r="Q48" i="27"/>
  <c r="R48" i="27"/>
  <c r="S48" i="27"/>
  <c r="F51" i="27"/>
  <c r="G51" i="27"/>
  <c r="H51" i="27"/>
  <c r="I51" i="27"/>
  <c r="J51" i="27"/>
  <c r="K51" i="27"/>
  <c r="L51" i="27"/>
  <c r="M51" i="27"/>
  <c r="N51" i="27"/>
  <c r="O51" i="27"/>
  <c r="P51" i="27"/>
  <c r="Q51" i="27"/>
  <c r="R51" i="27"/>
  <c r="S51" i="27"/>
  <c r="F52" i="27"/>
  <c r="G52" i="27"/>
  <c r="H52" i="27"/>
  <c r="I52" i="27"/>
  <c r="J52" i="27"/>
  <c r="K52" i="27"/>
  <c r="L52" i="27"/>
  <c r="M52" i="27"/>
  <c r="N52" i="27"/>
  <c r="O52" i="27"/>
  <c r="P52" i="27"/>
  <c r="Q52" i="27"/>
  <c r="R52" i="27"/>
  <c r="S52" i="27"/>
  <c r="F53" i="27"/>
  <c r="G53" i="27"/>
  <c r="H53" i="27"/>
  <c r="I53" i="27"/>
  <c r="J53" i="27"/>
  <c r="K53" i="27"/>
  <c r="L53" i="27"/>
  <c r="M53" i="27"/>
  <c r="N53" i="27"/>
  <c r="O53" i="27"/>
  <c r="P53" i="27"/>
  <c r="Q53" i="27"/>
  <c r="R53" i="27"/>
  <c r="S53" i="27"/>
  <c r="F55" i="27"/>
  <c r="G55" i="27"/>
  <c r="H55" i="27"/>
  <c r="I55" i="27"/>
  <c r="J55" i="27"/>
  <c r="K55" i="27"/>
  <c r="L55" i="27"/>
  <c r="M55" i="27"/>
  <c r="N55" i="27"/>
  <c r="O55" i="27"/>
  <c r="P55" i="27"/>
  <c r="Q55" i="27"/>
  <c r="R55" i="27"/>
  <c r="S55" i="27"/>
  <c r="G56" i="27"/>
  <c r="H56" i="27"/>
  <c r="I56" i="27"/>
  <c r="J56" i="27"/>
  <c r="K56" i="27"/>
  <c r="L56" i="27"/>
  <c r="M56" i="27"/>
  <c r="N56" i="27"/>
  <c r="O56" i="27"/>
  <c r="P56" i="27"/>
  <c r="Q56" i="27"/>
  <c r="R56" i="27"/>
  <c r="S56" i="27"/>
  <c r="I8" i="44"/>
  <c r="J8" i="44"/>
  <c r="K8" i="44"/>
  <c r="L8" i="44"/>
  <c r="M8" i="44"/>
  <c r="N8" i="44"/>
  <c r="O8" i="44"/>
  <c r="P8" i="44"/>
  <c r="Q8" i="44"/>
  <c r="R8" i="44"/>
  <c r="S8" i="44"/>
  <c r="T8" i="44"/>
  <c r="H9" i="44"/>
  <c r="I9" i="44"/>
  <c r="J9" i="44"/>
  <c r="K9" i="44"/>
  <c r="L9" i="44"/>
  <c r="M9" i="44"/>
  <c r="N9" i="44"/>
  <c r="O9" i="44"/>
  <c r="P9" i="44"/>
  <c r="Q9" i="44"/>
  <c r="R9" i="44"/>
  <c r="S9" i="44"/>
  <c r="T9" i="44"/>
  <c r="H10" i="44"/>
  <c r="I10" i="44"/>
  <c r="J10" i="44"/>
  <c r="K10" i="44"/>
  <c r="L10" i="44"/>
  <c r="M10" i="44"/>
  <c r="N10" i="44"/>
  <c r="O10" i="44"/>
  <c r="P10" i="44"/>
  <c r="Q10" i="44"/>
  <c r="R10" i="44"/>
  <c r="S10" i="44"/>
  <c r="T10" i="44"/>
  <c r="I11" i="44"/>
  <c r="J11" i="44"/>
  <c r="O11" i="44"/>
  <c r="P11" i="44"/>
  <c r="Q11" i="44"/>
  <c r="R11" i="44"/>
  <c r="S11" i="44"/>
  <c r="T11" i="44"/>
  <c r="J13" i="44"/>
  <c r="K13" i="44"/>
  <c r="M13" i="44"/>
  <c r="N13" i="44"/>
  <c r="O13" i="44"/>
  <c r="P13" i="44"/>
  <c r="Q13" i="44"/>
  <c r="R13" i="44"/>
  <c r="S13" i="44"/>
  <c r="T13" i="44"/>
  <c r="H15" i="44"/>
  <c r="I15" i="44"/>
  <c r="J15" i="44"/>
  <c r="K15" i="44"/>
  <c r="L15" i="44"/>
  <c r="M15" i="44"/>
  <c r="N15" i="44"/>
  <c r="O15" i="44"/>
  <c r="P15" i="44"/>
  <c r="Q15" i="44"/>
  <c r="R15" i="44"/>
  <c r="S15" i="44"/>
  <c r="T15" i="44"/>
  <c r="D16" i="44"/>
  <c r="I16" i="44"/>
  <c r="J16" i="44"/>
  <c r="L16" i="44"/>
  <c r="M16" i="44"/>
  <c r="N16" i="44"/>
  <c r="O16" i="44"/>
  <c r="P16" i="44"/>
  <c r="Q16" i="44"/>
  <c r="R16" i="44"/>
  <c r="S16" i="44"/>
  <c r="T16" i="44"/>
  <c r="H17" i="44"/>
  <c r="I17" i="44"/>
  <c r="J17" i="44"/>
  <c r="K17" i="44"/>
  <c r="L17" i="44"/>
  <c r="M17" i="44"/>
  <c r="N17" i="44"/>
  <c r="O17" i="44"/>
  <c r="P17" i="44"/>
  <c r="Q17" i="44"/>
  <c r="R17" i="44"/>
  <c r="S17" i="44"/>
  <c r="T17" i="44"/>
  <c r="D19" i="44"/>
  <c r="I19" i="44"/>
  <c r="J19" i="44"/>
  <c r="L19" i="44"/>
  <c r="M19" i="44"/>
  <c r="N19" i="44"/>
  <c r="O19" i="44"/>
  <c r="P19" i="44"/>
  <c r="Q19" i="44"/>
  <c r="R19" i="44"/>
  <c r="S19" i="44"/>
  <c r="T19" i="44"/>
  <c r="I20" i="44"/>
  <c r="J20" i="44"/>
  <c r="K20" i="44"/>
  <c r="L20" i="44"/>
  <c r="M20" i="44"/>
  <c r="N20" i="44"/>
  <c r="O20" i="44"/>
  <c r="P20" i="44"/>
  <c r="Q20" i="44"/>
  <c r="R20" i="44"/>
  <c r="S20" i="44"/>
  <c r="T20" i="44"/>
  <c r="H21" i="44"/>
  <c r="I21" i="44"/>
  <c r="J21" i="44"/>
  <c r="K21" i="44"/>
  <c r="L21" i="44"/>
  <c r="M21" i="44"/>
  <c r="N21" i="44"/>
  <c r="O21" i="44"/>
  <c r="P21" i="44"/>
  <c r="Q21" i="44"/>
  <c r="R21" i="44"/>
  <c r="S21" i="44"/>
  <c r="T21" i="44"/>
  <c r="J23" i="44"/>
  <c r="K23" i="44"/>
  <c r="L23" i="44"/>
  <c r="M23" i="44"/>
  <c r="N23" i="44"/>
  <c r="O23" i="44"/>
  <c r="P23" i="44"/>
  <c r="Q23" i="44"/>
  <c r="R23" i="44"/>
  <c r="S23" i="44"/>
  <c r="T23" i="44"/>
  <c r="J24" i="44"/>
  <c r="K24" i="44"/>
  <c r="L24" i="44"/>
  <c r="M24" i="44"/>
  <c r="N24" i="44"/>
  <c r="O24" i="44"/>
  <c r="P24" i="44"/>
  <c r="Q24" i="44"/>
  <c r="R24" i="44"/>
  <c r="S24" i="44"/>
  <c r="T24" i="44"/>
  <c r="J26" i="44"/>
  <c r="K26" i="44"/>
  <c r="L26" i="44"/>
  <c r="M26" i="44"/>
  <c r="N26" i="44"/>
  <c r="O26" i="44"/>
  <c r="P26" i="44"/>
  <c r="Q26" i="44"/>
  <c r="R26" i="44"/>
  <c r="S26" i="44"/>
  <c r="T26" i="44"/>
  <c r="J27" i="44"/>
  <c r="K27" i="44"/>
  <c r="L27" i="44"/>
  <c r="M27" i="44"/>
  <c r="N27" i="44"/>
  <c r="O27" i="44"/>
  <c r="P27" i="44"/>
  <c r="Q27" i="44"/>
  <c r="R27" i="44"/>
  <c r="S27" i="44"/>
  <c r="T27" i="44"/>
  <c r="J28" i="44"/>
  <c r="K28" i="44"/>
  <c r="L28" i="44"/>
  <c r="M28" i="44"/>
  <c r="N28" i="44"/>
  <c r="O28" i="44"/>
  <c r="P28" i="44"/>
  <c r="Q28" i="44"/>
  <c r="R28" i="44"/>
  <c r="S28" i="44"/>
  <c r="T28" i="44"/>
  <c r="J29" i="44"/>
  <c r="K29" i="44"/>
  <c r="L29" i="44"/>
  <c r="M29" i="44"/>
  <c r="N29" i="44"/>
  <c r="O29" i="44"/>
  <c r="P29" i="44"/>
  <c r="Q29" i="44"/>
  <c r="R29" i="44"/>
  <c r="S29" i="44"/>
  <c r="T29" i="44"/>
  <c r="J30" i="44"/>
  <c r="K30" i="44"/>
  <c r="L30" i="44"/>
  <c r="M30" i="44"/>
  <c r="N30" i="44"/>
  <c r="O30" i="44"/>
  <c r="P30" i="44"/>
  <c r="Q30" i="44"/>
  <c r="R30" i="44"/>
  <c r="S30" i="44"/>
  <c r="T30" i="44"/>
  <c r="J31" i="44"/>
  <c r="K31" i="44"/>
  <c r="L31" i="44"/>
  <c r="M31" i="44"/>
  <c r="N31" i="44"/>
  <c r="O31" i="44"/>
  <c r="P31" i="44"/>
  <c r="Q31" i="44"/>
  <c r="R31" i="44"/>
  <c r="S31" i="44"/>
  <c r="T31" i="44"/>
  <c r="U31" i="44"/>
  <c r="C34" i="44"/>
  <c r="D34" i="44"/>
  <c r="D35" i="44"/>
  <c r="H41" i="44"/>
  <c r="I41" i="44"/>
  <c r="J41" i="44"/>
  <c r="K41" i="44"/>
  <c r="L41" i="44"/>
  <c r="M41" i="44"/>
  <c r="N41" i="44"/>
  <c r="O41" i="44"/>
  <c r="P41" i="44"/>
  <c r="Q41" i="44"/>
  <c r="R41" i="44"/>
  <c r="S41" i="44"/>
  <c r="H43" i="44"/>
  <c r="I43" i="44"/>
  <c r="J43" i="44"/>
  <c r="K43" i="44"/>
  <c r="L43" i="44"/>
  <c r="M43" i="44"/>
  <c r="N43" i="44"/>
  <c r="O43" i="44"/>
  <c r="P43" i="44"/>
  <c r="Q43" i="44"/>
  <c r="R43" i="44"/>
  <c r="S43" i="44"/>
  <c r="H44" i="44"/>
  <c r="I44" i="44"/>
  <c r="J44" i="44"/>
  <c r="K44" i="44"/>
  <c r="L44" i="44"/>
  <c r="M44" i="44"/>
  <c r="N44" i="44"/>
  <c r="O44" i="44"/>
  <c r="P44" i="44"/>
  <c r="Q44" i="44"/>
  <c r="R44" i="44"/>
  <c r="S44" i="44"/>
  <c r="H45" i="44"/>
  <c r="I45" i="44"/>
  <c r="J45" i="44"/>
  <c r="K45" i="44"/>
  <c r="L45" i="44"/>
  <c r="M45" i="44"/>
  <c r="N45" i="44"/>
  <c r="O45" i="44"/>
  <c r="P45" i="44"/>
  <c r="Q45" i="44"/>
  <c r="R45" i="44"/>
  <c r="S45" i="44"/>
  <c r="H48" i="44"/>
  <c r="I48" i="44"/>
  <c r="J48" i="44"/>
  <c r="K48" i="44"/>
  <c r="L48" i="44"/>
  <c r="M48" i="44"/>
  <c r="N48" i="44"/>
  <c r="O48" i="44"/>
  <c r="P48" i="44"/>
  <c r="Q48" i="44"/>
  <c r="R48" i="44"/>
  <c r="S48" i="44"/>
  <c r="H49" i="44"/>
  <c r="I49" i="44"/>
  <c r="J49" i="44"/>
  <c r="K49" i="44"/>
  <c r="L49" i="44"/>
  <c r="M49" i="44"/>
  <c r="N49" i="44"/>
  <c r="O49" i="44"/>
  <c r="P49" i="44"/>
  <c r="Q49" i="44"/>
  <c r="R49" i="44"/>
  <c r="S49" i="44"/>
  <c r="H50" i="44"/>
  <c r="I50" i="44"/>
  <c r="J50" i="44"/>
  <c r="K50" i="44"/>
  <c r="L50" i="44"/>
  <c r="M50" i="44"/>
  <c r="N50" i="44"/>
  <c r="O50" i="44"/>
  <c r="P50" i="44"/>
  <c r="Q50" i="44"/>
  <c r="R50" i="44"/>
  <c r="S50" i="44"/>
  <c r="H52" i="44"/>
  <c r="I52" i="44"/>
  <c r="J52" i="44"/>
  <c r="K52" i="44"/>
  <c r="L52" i="44"/>
  <c r="M52" i="44"/>
  <c r="N52" i="44"/>
  <c r="O52" i="44"/>
  <c r="P52" i="44"/>
  <c r="Q52" i="44"/>
  <c r="R52" i="44"/>
  <c r="S52" i="44"/>
  <c r="I53" i="44"/>
  <c r="J53" i="44"/>
  <c r="K53" i="44"/>
  <c r="L53" i="44"/>
  <c r="M53" i="44"/>
  <c r="N53" i="44"/>
  <c r="O53" i="44"/>
  <c r="P53" i="44"/>
  <c r="Q53" i="44"/>
  <c r="R53" i="44"/>
  <c r="S53" i="44"/>
  <c r="M2" i="13"/>
  <c r="N2" i="13"/>
  <c r="O2" i="13"/>
  <c r="P2" i="13"/>
  <c r="R4" i="13"/>
  <c r="S4" i="13"/>
  <c r="T4" i="13"/>
  <c r="U4" i="13"/>
  <c r="V4" i="13"/>
  <c r="R5" i="13"/>
  <c r="S5" i="13"/>
  <c r="T5" i="13"/>
  <c r="U5" i="13"/>
  <c r="V5" i="13"/>
  <c r="R6" i="13"/>
  <c r="S6" i="13"/>
  <c r="T6" i="13"/>
  <c r="U6" i="13"/>
  <c r="V6" i="13"/>
  <c r="R7" i="13"/>
  <c r="S7" i="13"/>
  <c r="T7" i="13"/>
  <c r="U7" i="13"/>
  <c r="V7" i="13"/>
  <c r="E8" i="13"/>
  <c r="L8" i="13"/>
  <c r="R8" i="13"/>
  <c r="S8" i="13"/>
  <c r="T8" i="13"/>
  <c r="U8" i="13"/>
  <c r="V8" i="13"/>
  <c r="R9" i="13"/>
  <c r="S9" i="13"/>
  <c r="T9" i="13"/>
  <c r="U9" i="13"/>
  <c r="V9" i="13"/>
  <c r="R10" i="13"/>
  <c r="S10" i="13"/>
  <c r="T10" i="13"/>
  <c r="U10" i="13"/>
  <c r="V10" i="13"/>
  <c r="E12" i="13"/>
  <c r="F12" i="13"/>
  <c r="G12" i="13"/>
  <c r="H12" i="13"/>
  <c r="I12" i="13"/>
  <c r="L12" i="13"/>
  <c r="M12" i="13"/>
  <c r="N12" i="13"/>
  <c r="O12" i="13"/>
  <c r="P12" i="13"/>
  <c r="R12" i="13"/>
  <c r="S12" i="13"/>
  <c r="T12" i="13"/>
  <c r="U12" i="13"/>
  <c r="V12" i="13"/>
  <c r="M16" i="13"/>
  <c r="N16" i="13"/>
  <c r="O16" i="13"/>
  <c r="P16" i="13"/>
  <c r="M18" i="13"/>
  <c r="N18" i="13"/>
  <c r="O18" i="13"/>
  <c r="P18" i="13"/>
  <c r="M20" i="13"/>
  <c r="N20" i="13"/>
  <c r="O20" i="13"/>
  <c r="P20" i="13"/>
  <c r="M23" i="13"/>
  <c r="N23" i="13"/>
  <c r="O23" i="13"/>
  <c r="P23" i="13"/>
  <c r="C15" i="17"/>
  <c r="C30" i="17"/>
  <c r="E7" i="14"/>
  <c r="F7" i="14"/>
  <c r="G7" i="14"/>
  <c r="E8" i="14"/>
  <c r="F8" i="14"/>
  <c r="G8" i="14"/>
  <c r="O8" i="14"/>
  <c r="P8" i="14"/>
  <c r="Q8" i="14"/>
  <c r="E9" i="14"/>
  <c r="F9" i="14"/>
  <c r="G9" i="14"/>
  <c r="O9" i="14"/>
  <c r="P9" i="14"/>
  <c r="Q9" i="14"/>
  <c r="E10" i="14"/>
  <c r="F10" i="14"/>
  <c r="G10" i="14"/>
  <c r="O10" i="14"/>
  <c r="P10" i="14"/>
  <c r="Q10" i="14"/>
  <c r="E11" i="14"/>
  <c r="F11" i="14"/>
  <c r="G11" i="14"/>
  <c r="O11" i="14"/>
  <c r="P11" i="14"/>
  <c r="Q11" i="14"/>
  <c r="E12" i="14"/>
  <c r="F12" i="14"/>
  <c r="G12" i="14"/>
  <c r="O12" i="14"/>
  <c r="P12" i="14"/>
  <c r="Q12" i="14"/>
  <c r="E13" i="14"/>
  <c r="F13" i="14"/>
  <c r="G13" i="14"/>
  <c r="O13" i="14"/>
  <c r="P13" i="14"/>
  <c r="Q13" i="14"/>
  <c r="E14" i="14"/>
  <c r="F14" i="14"/>
  <c r="G14" i="14"/>
  <c r="O14" i="14"/>
  <c r="P14" i="14"/>
  <c r="Q14" i="14"/>
  <c r="E15" i="14"/>
  <c r="F15" i="14"/>
  <c r="G15" i="14"/>
  <c r="O15" i="14"/>
  <c r="P15" i="14"/>
  <c r="Q15" i="14"/>
  <c r="R15" i="14"/>
  <c r="E16" i="14"/>
  <c r="F16" i="14"/>
  <c r="G16" i="14"/>
  <c r="E17" i="14"/>
  <c r="F17" i="14"/>
  <c r="G17" i="14"/>
  <c r="E18" i="14"/>
  <c r="F18" i="14"/>
  <c r="G18" i="14"/>
  <c r="O18" i="14"/>
  <c r="P18" i="14"/>
  <c r="Q18" i="14"/>
  <c r="R18" i="14"/>
  <c r="E19" i="14"/>
  <c r="F19" i="14"/>
  <c r="G19" i="14"/>
  <c r="O19" i="14"/>
  <c r="P19" i="14"/>
  <c r="Q19" i="14"/>
  <c r="E20" i="14"/>
  <c r="F20" i="14"/>
  <c r="G20" i="14"/>
  <c r="O20" i="14"/>
  <c r="P20" i="14"/>
  <c r="Q20" i="14"/>
  <c r="R20" i="14"/>
  <c r="E21" i="14"/>
  <c r="F21" i="14"/>
  <c r="G21" i="14"/>
  <c r="E22" i="14"/>
  <c r="F22" i="14"/>
  <c r="G22" i="14"/>
  <c r="E23" i="14"/>
  <c r="F23" i="14"/>
  <c r="G23" i="14"/>
  <c r="O23" i="14"/>
  <c r="P23" i="14"/>
  <c r="Q23" i="14"/>
  <c r="E24" i="14"/>
  <c r="F24" i="14"/>
  <c r="G24" i="14"/>
  <c r="O24" i="14"/>
  <c r="P24" i="14"/>
  <c r="Q24" i="14"/>
  <c r="E25" i="14"/>
  <c r="F25" i="14"/>
  <c r="G25" i="14"/>
  <c r="O25" i="14"/>
  <c r="P25" i="14"/>
  <c r="Q25" i="14"/>
  <c r="E26" i="14"/>
  <c r="F26" i="14"/>
  <c r="G26" i="14"/>
  <c r="O26" i="14"/>
  <c r="P26" i="14"/>
  <c r="Q26" i="14"/>
  <c r="E27" i="14"/>
  <c r="F27" i="14"/>
  <c r="G27" i="14"/>
  <c r="O27" i="14"/>
  <c r="P27" i="14"/>
  <c r="Q27" i="14"/>
  <c r="E28" i="14"/>
  <c r="F28" i="14"/>
  <c r="G28" i="14"/>
  <c r="O28" i="14"/>
  <c r="P28" i="14"/>
  <c r="Q28" i="14"/>
  <c r="E29" i="14"/>
  <c r="F29" i="14"/>
  <c r="G29" i="14"/>
  <c r="O29" i="14"/>
  <c r="P29" i="14"/>
  <c r="Q29" i="14"/>
  <c r="E30" i="14"/>
  <c r="F30" i="14"/>
  <c r="G30" i="14"/>
  <c r="E31" i="14"/>
  <c r="F31" i="14"/>
  <c r="G31" i="14"/>
  <c r="H31" i="14"/>
  <c r="O31" i="14"/>
  <c r="P31" i="14"/>
  <c r="Q31" i="14"/>
  <c r="R31" i="14"/>
  <c r="O33" i="14"/>
  <c r="P33" i="14"/>
  <c r="Q33" i="14"/>
  <c r="R33" i="14"/>
  <c r="E53" i="14"/>
  <c r="F53" i="14"/>
  <c r="G53" i="14"/>
  <c r="H53" i="14"/>
  <c r="O15" i="11"/>
  <c r="P15" i="11"/>
  <c r="Q15" i="11"/>
  <c r="O20" i="11"/>
  <c r="P20" i="11"/>
  <c r="Q20" i="11"/>
  <c r="R20" i="11"/>
  <c r="O29" i="11"/>
  <c r="P29" i="11"/>
  <c r="Q29" i="11"/>
  <c r="E31" i="11"/>
  <c r="F31" i="11"/>
  <c r="G31" i="11"/>
  <c r="O33" i="11"/>
  <c r="P33" i="11"/>
  <c r="Q33" i="11"/>
  <c r="R33" i="11"/>
  <c r="O17" i="10"/>
  <c r="P17" i="10"/>
  <c r="Q17" i="10"/>
  <c r="O22" i="10"/>
  <c r="P22" i="10"/>
  <c r="Q22" i="10"/>
  <c r="R22" i="10"/>
  <c r="O29" i="10"/>
  <c r="P29" i="10"/>
  <c r="Q29" i="10"/>
  <c r="E30" i="10"/>
  <c r="F30" i="10"/>
  <c r="G30" i="10"/>
  <c r="H30" i="10"/>
  <c r="O31" i="10"/>
  <c r="P31" i="10"/>
  <c r="Q31" i="10"/>
  <c r="R31" i="10"/>
  <c r="T8" i="19"/>
  <c r="J9" i="19"/>
  <c r="O9" i="19"/>
  <c r="J10" i="19"/>
  <c r="O10" i="19"/>
  <c r="O13" i="19"/>
  <c r="T14" i="19"/>
  <c r="O15" i="19"/>
  <c r="O16" i="19"/>
  <c r="E17" i="19"/>
  <c r="J17" i="19"/>
  <c r="O18" i="19"/>
  <c r="O19" i="19"/>
  <c r="T19" i="19"/>
  <c r="E24" i="19"/>
  <c r="J24" i="19"/>
  <c r="O24" i="19"/>
  <c r="J25" i="19"/>
  <c r="O25" i="19"/>
  <c r="E26" i="19"/>
  <c r="J26" i="19"/>
  <c r="O26" i="19"/>
  <c r="D5" i="49"/>
  <c r="E5" i="49"/>
  <c r="F5" i="49"/>
  <c r="G5" i="49"/>
  <c r="C7" i="49"/>
  <c r="D7" i="49"/>
  <c r="E7" i="49"/>
  <c r="F7" i="49"/>
  <c r="G7" i="49"/>
  <c r="K7" i="49"/>
  <c r="L7" i="49"/>
  <c r="M7" i="49"/>
  <c r="N7" i="49"/>
  <c r="O7" i="49"/>
  <c r="P7" i="49"/>
  <c r="C9" i="49"/>
  <c r="D9" i="49"/>
  <c r="E9" i="49"/>
  <c r="F9" i="49"/>
  <c r="G9" i="49"/>
  <c r="K9" i="49"/>
  <c r="L9" i="49"/>
  <c r="M9" i="49"/>
  <c r="N9" i="49"/>
  <c r="O9" i="49"/>
  <c r="P9" i="49"/>
  <c r="C11" i="49"/>
  <c r="D11" i="49"/>
  <c r="E11" i="49"/>
  <c r="F11" i="49"/>
  <c r="G11" i="49"/>
  <c r="K11" i="49"/>
  <c r="L11" i="49"/>
  <c r="M11" i="49"/>
  <c r="N11" i="49"/>
  <c r="O11" i="49"/>
  <c r="P11" i="49"/>
  <c r="C13" i="49"/>
  <c r="D13" i="49"/>
  <c r="E13" i="49"/>
  <c r="F13" i="49"/>
  <c r="G13" i="49"/>
  <c r="K13" i="49"/>
  <c r="L13" i="49"/>
  <c r="M13" i="49"/>
  <c r="N13" i="49"/>
  <c r="O13" i="49"/>
  <c r="P13" i="49"/>
  <c r="C15" i="49"/>
  <c r="D15" i="49"/>
  <c r="E15" i="49"/>
  <c r="F15" i="49"/>
  <c r="G15" i="49"/>
  <c r="K15" i="49"/>
  <c r="L15" i="49"/>
  <c r="M15" i="49"/>
  <c r="N15" i="49"/>
  <c r="O15" i="49"/>
  <c r="P15" i="49"/>
  <c r="C17" i="49"/>
  <c r="D17" i="49"/>
  <c r="E17" i="49"/>
  <c r="F17" i="49"/>
  <c r="G17" i="49"/>
  <c r="K17" i="49"/>
  <c r="L17" i="49"/>
  <c r="M17" i="49"/>
  <c r="N17" i="49"/>
  <c r="O17" i="49"/>
  <c r="P17" i="49"/>
  <c r="C19" i="49"/>
  <c r="D19" i="49"/>
  <c r="E19" i="49"/>
  <c r="F19" i="49"/>
  <c r="G19" i="49"/>
  <c r="K19" i="49"/>
  <c r="L19" i="49"/>
  <c r="M19" i="49"/>
  <c r="N19" i="49"/>
  <c r="O19" i="49"/>
  <c r="P19" i="49"/>
  <c r="C21" i="49"/>
  <c r="D21" i="49"/>
  <c r="E21" i="49"/>
  <c r="F21" i="49"/>
  <c r="G21" i="49"/>
  <c r="K21" i="49"/>
  <c r="L21" i="49"/>
  <c r="M21" i="49"/>
  <c r="N21" i="49"/>
  <c r="O21" i="49"/>
  <c r="P21" i="49"/>
  <c r="I14" i="24"/>
  <c r="J14" i="24"/>
  <c r="K14" i="24"/>
  <c r="L14" i="24"/>
  <c r="M14" i="24"/>
  <c r="N14" i="24"/>
  <c r="O14" i="24"/>
  <c r="P14" i="24"/>
  <c r="I15" i="24"/>
  <c r="J15" i="24"/>
  <c r="K15" i="24"/>
  <c r="L15" i="24"/>
  <c r="M15" i="24"/>
  <c r="N15" i="24"/>
  <c r="O15" i="24"/>
  <c r="P15" i="24"/>
  <c r="I16" i="24"/>
  <c r="J16" i="24"/>
  <c r="K16" i="24"/>
  <c r="L16" i="24"/>
  <c r="M16" i="24"/>
  <c r="N16" i="24"/>
  <c r="O16" i="24"/>
  <c r="P16" i="24"/>
  <c r="I17" i="24"/>
  <c r="J17" i="24"/>
  <c r="K17" i="24"/>
  <c r="L17" i="24"/>
  <c r="M17" i="24"/>
  <c r="N17" i="24"/>
  <c r="O17" i="24"/>
  <c r="P17" i="24"/>
  <c r="I19" i="24"/>
  <c r="J19" i="24"/>
  <c r="K19" i="24"/>
  <c r="L19" i="24"/>
  <c r="M19" i="24"/>
  <c r="N19" i="24"/>
  <c r="O19" i="24"/>
  <c r="P19" i="24"/>
  <c r="I20" i="24"/>
  <c r="J20" i="24"/>
  <c r="K20" i="24"/>
  <c r="L20" i="24"/>
  <c r="M20" i="24"/>
  <c r="N20" i="24"/>
  <c r="O20" i="24"/>
  <c r="P20" i="24"/>
  <c r="I21" i="24"/>
  <c r="J21" i="24"/>
  <c r="K21" i="24"/>
  <c r="L21" i="24"/>
  <c r="M21" i="24"/>
  <c r="N21" i="24"/>
  <c r="O21" i="24"/>
  <c r="P21" i="24"/>
  <c r="I23" i="24"/>
  <c r="J23" i="24"/>
  <c r="K23" i="24"/>
  <c r="L23" i="24"/>
  <c r="M23" i="24"/>
  <c r="N23" i="24"/>
  <c r="O23" i="24"/>
  <c r="P23" i="24"/>
  <c r="I24" i="24"/>
  <c r="J24" i="24"/>
  <c r="K24" i="24"/>
  <c r="L24" i="24"/>
  <c r="M24" i="24"/>
  <c r="N24" i="24"/>
  <c r="O24" i="24"/>
  <c r="P24" i="24"/>
  <c r="L27" i="24"/>
  <c r="M27" i="24"/>
  <c r="N27" i="24"/>
  <c r="O27" i="24"/>
  <c r="P27" i="24"/>
  <c r="M29" i="24"/>
  <c r="N29" i="24"/>
  <c r="O29" i="24"/>
  <c r="P29" i="24"/>
  <c r="L31" i="24"/>
  <c r="M31" i="24"/>
  <c r="N31" i="24"/>
  <c r="O31" i="24"/>
  <c r="P31" i="24"/>
  <c r="I32" i="24"/>
  <c r="J32" i="24"/>
  <c r="K32" i="24"/>
  <c r="L32" i="24"/>
  <c r="M32" i="24"/>
  <c r="N32" i="24"/>
  <c r="O32" i="24"/>
  <c r="P32" i="24"/>
  <c r="I34" i="24"/>
  <c r="J34" i="24"/>
  <c r="K34" i="24"/>
  <c r="L34" i="24"/>
  <c r="M34" i="24"/>
  <c r="N34" i="24"/>
  <c r="O34" i="24"/>
  <c r="P34" i="24"/>
  <c r="I35" i="24"/>
  <c r="J35" i="24"/>
  <c r="K35" i="24"/>
  <c r="L35" i="24"/>
  <c r="M35" i="24"/>
  <c r="N35" i="24"/>
  <c r="O35" i="24"/>
  <c r="P35" i="24"/>
  <c r="I36" i="24"/>
  <c r="J36" i="24"/>
  <c r="K36" i="24"/>
  <c r="L36" i="24"/>
  <c r="M36" i="24"/>
  <c r="N36" i="24"/>
  <c r="O36" i="24"/>
  <c r="P36" i="24"/>
  <c r="I37" i="24"/>
  <c r="J37" i="24"/>
  <c r="K37" i="24"/>
  <c r="L37" i="24"/>
  <c r="M37" i="24"/>
  <c r="N37" i="24"/>
  <c r="O37" i="24"/>
  <c r="P37" i="24"/>
  <c r="I38" i="24"/>
  <c r="J38" i="24"/>
  <c r="K38" i="24"/>
  <c r="L38" i="24"/>
  <c r="M38" i="24"/>
  <c r="N38" i="24"/>
  <c r="O38" i="24"/>
  <c r="P38" i="24"/>
  <c r="L42" i="24"/>
  <c r="M42" i="24"/>
  <c r="N42" i="24"/>
  <c r="O42" i="24"/>
  <c r="P42" i="24"/>
  <c r="L43" i="24"/>
  <c r="M43" i="24"/>
  <c r="N43" i="24"/>
  <c r="O43" i="24"/>
  <c r="P43" i="24"/>
  <c r="L44" i="24"/>
  <c r="M44" i="24"/>
  <c r="N44" i="24"/>
  <c r="O44" i="24"/>
  <c r="P44" i="24"/>
  <c r="L45" i="24"/>
  <c r="M45" i="24"/>
  <c r="N45" i="24"/>
  <c r="O45" i="24"/>
  <c r="P45" i="24"/>
  <c r="L46" i="24"/>
  <c r="M46" i="24"/>
  <c r="N46" i="24"/>
  <c r="O46" i="24"/>
  <c r="P46" i="24"/>
  <c r="L47" i="24"/>
  <c r="M47" i="24"/>
  <c r="N47" i="24"/>
  <c r="O47" i="24"/>
  <c r="P47" i="24"/>
  <c r="L48" i="24"/>
  <c r="M48" i="24"/>
  <c r="N48" i="24"/>
  <c r="O48" i="24"/>
  <c r="P48" i="24"/>
  <c r="L49" i="24"/>
  <c r="M49" i="24"/>
  <c r="N49" i="24"/>
  <c r="O49" i="24"/>
  <c r="P49" i="24"/>
  <c r="L50" i="24"/>
  <c r="M50" i="24"/>
  <c r="N50" i="24"/>
  <c r="O50" i="24"/>
  <c r="P50" i="24"/>
  <c r="L51" i="24"/>
  <c r="M51" i="24"/>
  <c r="N51" i="24"/>
  <c r="O51" i="24"/>
  <c r="P51" i="24"/>
  <c r="L52" i="24"/>
  <c r="L53" i="24"/>
  <c r="M53" i="24"/>
  <c r="N53" i="24"/>
  <c r="O53" i="24"/>
  <c r="P53" i="24"/>
  <c r="Q53" i="24"/>
  <c r="E56" i="24"/>
  <c r="E57" i="24"/>
  <c r="E58" i="24"/>
  <c r="E59" i="24"/>
  <c r="K59" i="24"/>
  <c r="L59" i="24"/>
  <c r="M59" i="24"/>
  <c r="N59" i="24"/>
  <c r="O59" i="24"/>
  <c r="P59" i="24"/>
  <c r="E60" i="24"/>
  <c r="K60" i="24"/>
  <c r="L60" i="24"/>
  <c r="M60" i="24"/>
  <c r="N60" i="24"/>
  <c r="O60" i="24"/>
  <c r="P60" i="24"/>
  <c r="K61" i="24"/>
  <c r="L61" i="24"/>
  <c r="M61" i="24"/>
  <c r="N61" i="24"/>
  <c r="O61" i="24"/>
  <c r="P61" i="24"/>
  <c r="L62" i="24"/>
  <c r="M62" i="24"/>
  <c r="N62" i="24"/>
  <c r="O62" i="24"/>
  <c r="P62" i="24"/>
  <c r="I67" i="24"/>
  <c r="J67" i="24"/>
  <c r="K67" i="24"/>
  <c r="L67" i="24"/>
  <c r="M67" i="24"/>
  <c r="N67" i="24"/>
  <c r="O67" i="24"/>
  <c r="I68" i="24"/>
  <c r="J68" i="24"/>
  <c r="K68" i="24"/>
  <c r="L68" i="24"/>
  <c r="M68" i="24"/>
  <c r="N68" i="24"/>
  <c r="O68" i="24"/>
  <c r="I69" i="24"/>
  <c r="J69" i="24"/>
  <c r="K69" i="24"/>
  <c r="L69" i="24"/>
  <c r="M69" i="24"/>
  <c r="N69" i="24"/>
  <c r="O69" i="24"/>
  <c r="I70" i="24"/>
  <c r="J70" i="24"/>
  <c r="K70" i="24"/>
  <c r="L70" i="24"/>
  <c r="M70" i="24"/>
  <c r="N70" i="24"/>
  <c r="O70" i="24"/>
  <c r="I71" i="24"/>
  <c r="J71" i="24"/>
  <c r="K71" i="24"/>
  <c r="L71" i="24"/>
  <c r="M71" i="24"/>
  <c r="N71" i="24"/>
  <c r="O71" i="24"/>
  <c r="I72" i="24"/>
  <c r="J72" i="24"/>
  <c r="K72" i="24"/>
  <c r="L72" i="24"/>
  <c r="M72" i="24"/>
  <c r="N72" i="24"/>
  <c r="O72" i="24"/>
  <c r="I74" i="24"/>
  <c r="J74" i="24"/>
  <c r="K74" i="24"/>
  <c r="L74" i="24"/>
  <c r="M74" i="24"/>
  <c r="N74" i="24"/>
  <c r="O74" i="24"/>
  <c r="I75" i="24"/>
  <c r="J75" i="24"/>
  <c r="K75" i="24"/>
  <c r="L75" i="24"/>
  <c r="M75" i="24"/>
  <c r="N75" i="24"/>
  <c r="O75" i="24"/>
  <c r="I77" i="24"/>
  <c r="J77" i="24"/>
  <c r="K77" i="24"/>
  <c r="L77" i="24"/>
  <c r="M77" i="24"/>
  <c r="N77" i="24"/>
  <c r="O77" i="24"/>
  <c r="G11" i="43"/>
  <c r="H11" i="43"/>
  <c r="G13" i="43"/>
  <c r="H13" i="43"/>
  <c r="G15" i="43"/>
  <c r="H15" i="43"/>
  <c r="G16" i="43"/>
  <c r="H16" i="43"/>
  <c r="G17" i="43"/>
  <c r="H17" i="43"/>
  <c r="M4" i="4"/>
  <c r="D5" i="4"/>
  <c r="E5" i="4"/>
  <c r="M5" i="4"/>
  <c r="D6" i="4"/>
  <c r="E6" i="4"/>
  <c r="M6" i="4"/>
  <c r="D7" i="4"/>
  <c r="E7" i="4"/>
  <c r="M7" i="4"/>
  <c r="D8" i="4"/>
  <c r="E8" i="4"/>
  <c r="M8" i="4"/>
  <c r="D9" i="4"/>
  <c r="E9" i="4"/>
  <c r="M10" i="4"/>
  <c r="D12" i="4"/>
  <c r="E12" i="4"/>
  <c r="M12" i="4"/>
  <c r="D13" i="4"/>
  <c r="E13" i="4"/>
  <c r="D14" i="4"/>
  <c r="E14" i="4"/>
  <c r="M14" i="4"/>
  <c r="D15" i="4"/>
  <c r="E15" i="4"/>
  <c r="M15" i="4"/>
  <c r="D16" i="4"/>
  <c r="E16" i="4"/>
  <c r="M16" i="4"/>
  <c r="M18" i="4"/>
  <c r="D19" i="4"/>
  <c r="M19" i="4"/>
  <c r="D20" i="4"/>
  <c r="M20" i="4"/>
  <c r="D21" i="4"/>
  <c r="D22" i="4"/>
  <c r="M23" i="4"/>
  <c r="F25" i="4"/>
  <c r="M25" i="4"/>
  <c r="F26" i="4"/>
  <c r="M26" i="4"/>
  <c r="F27" i="4"/>
  <c r="M27" i="4"/>
  <c r="F28" i="4"/>
  <c r="F29" i="4"/>
  <c r="M29" i="4"/>
  <c r="F30" i="4"/>
  <c r="M30" i="4"/>
  <c r="F31" i="4"/>
  <c r="M31" i="4"/>
  <c r="F32" i="4"/>
  <c r="M32" i="4"/>
  <c r="F33" i="4"/>
  <c r="M33" i="4"/>
  <c r="M35" i="4"/>
  <c r="M36" i="4"/>
  <c r="M39" i="4"/>
</calcChain>
</file>

<file path=xl/comments1.xml><?xml version="1.0" encoding="utf-8"?>
<comments xmlns="http://schemas.openxmlformats.org/spreadsheetml/2006/main">
  <authors>
    <author>Raul Rizo-Patron</author>
    <author>gbenite</author>
  </authors>
  <commentList>
    <comment ref="U7" authorId="0" shapeId="0">
      <text>
        <r>
          <rPr>
            <b/>
            <sz val="8"/>
            <color indexed="81"/>
            <rFont val="Tahoma"/>
          </rPr>
          <t xml:space="preserve">Raul Rizo-Patron:
</t>
        </r>
        <r>
          <rPr>
            <sz val="8"/>
            <color indexed="81"/>
            <rFont val="Tahoma"/>
            <family val="2"/>
          </rPr>
          <t>Whether or not the business is purchased with or without cash, NI will be the same because it will be assumed that ENE would put in the cash that TA took.</t>
        </r>
      </text>
    </comment>
    <comment ref="V7" authorId="0" shapeId="0">
      <text>
        <r>
          <rPr>
            <b/>
            <sz val="8"/>
            <color indexed="81"/>
            <rFont val="Tahoma"/>
          </rPr>
          <t xml:space="preserve">Raul Rizo-Patron:
</t>
        </r>
        <r>
          <rPr>
            <sz val="8"/>
            <color indexed="81"/>
            <rFont val="Tahoma"/>
            <family val="2"/>
          </rPr>
          <t>Whether or not the business is purchased with or without cash, NI will be the same because it will be assumed that ENE would put in the cash that TA took.</t>
        </r>
      </text>
    </comment>
    <comment ref="U12" authorId="1" shapeId="0">
      <text>
        <r>
          <rPr>
            <b/>
            <sz val="8"/>
            <color indexed="81"/>
            <rFont val="Tahoma"/>
          </rPr>
          <t>gbenite:</t>
        </r>
        <r>
          <rPr>
            <sz val="8"/>
            <color indexed="81"/>
            <rFont val="Tahoma"/>
          </rPr>
          <t xml:space="preserve">
Formula originaly was:
=-D7*B23*(1-$B$26)
but removed because interest is already in NI</t>
        </r>
      </text>
    </comment>
  </commentList>
</comments>
</file>

<file path=xl/comments2.xml><?xml version="1.0" encoding="utf-8"?>
<comments xmlns="http://schemas.openxmlformats.org/spreadsheetml/2006/main">
  <authors>
    <author>Preferred Customer</author>
  </authors>
  <commentList>
    <comment ref="D18" authorId="0" shapeId="0">
      <text>
        <r>
          <rPr>
            <sz val="8"/>
            <color indexed="81"/>
            <rFont val="Tahoma"/>
            <family val="2"/>
          </rPr>
          <t>Equals $123 book value minus $16.5 book value for Sea 3 dated Sept 00 minus $1.0 book value for railcars dated Dec 00.</t>
        </r>
        <r>
          <rPr>
            <sz val="8"/>
            <color indexed="81"/>
            <rFont val="Tahoma"/>
          </rPr>
          <t xml:space="preserve">
</t>
        </r>
      </text>
    </comment>
  </commentList>
</comments>
</file>

<file path=xl/comments3.xml><?xml version="1.0" encoding="utf-8"?>
<comments xmlns="http://schemas.openxmlformats.org/spreadsheetml/2006/main">
  <authors>
    <author>Raul Rizo-Patron</author>
  </authors>
  <commentList>
    <comment ref="L13" authorId="0" shapeId="0">
      <text>
        <r>
          <rPr>
            <sz val="8"/>
            <color indexed="81"/>
            <rFont val="Tahoma"/>
            <family val="2"/>
          </rPr>
          <t>Assumes TA loses $0.01 after renegotiating contract.  Also assume volumes going forward equal the average of 1999 and 2000.</t>
        </r>
      </text>
    </comment>
  </commentList>
</comments>
</file>

<file path=xl/comments4.xml><?xml version="1.0" encoding="utf-8"?>
<comments xmlns="http://schemas.openxmlformats.org/spreadsheetml/2006/main">
  <authors>
    <author>Raul Rizo-Patron</author>
  </authors>
  <commentList>
    <comment ref="L13" authorId="0" shapeId="0">
      <text>
        <r>
          <rPr>
            <sz val="8"/>
            <color indexed="81"/>
            <rFont val="Tahoma"/>
            <family val="2"/>
          </rPr>
          <t>Assumes TA loses $0.01 of value after renegotiating the purchase contract.  Volume assumption stay the same as per TA data.</t>
        </r>
      </text>
    </comment>
  </commentList>
</comments>
</file>

<file path=xl/comments5.xml><?xml version="1.0" encoding="utf-8"?>
<comments xmlns="http://schemas.openxmlformats.org/spreadsheetml/2006/main">
  <authors>
    <author>Raul Rizo-Patron</author>
  </authors>
  <commentList>
    <comment ref="F10" authorId="0" shapeId="0">
      <text>
        <r>
          <rPr>
            <sz val="8"/>
            <color indexed="81"/>
            <rFont val="Tahoma"/>
            <family val="2"/>
          </rPr>
          <t>Addback is for depreciationi.</t>
        </r>
      </text>
    </comment>
  </commentList>
</comments>
</file>

<file path=xl/comments6.xml><?xml version="1.0" encoding="utf-8"?>
<comments xmlns="http://schemas.openxmlformats.org/spreadsheetml/2006/main">
  <authors>
    <author>Preferred Customer</author>
    <author>gbenite</author>
    <author>Raul Rizo-Patron</author>
  </authors>
  <commentList>
    <comment ref="I15" authorId="0" shapeId="0">
      <text>
        <r>
          <rPr>
            <sz val="8"/>
            <color indexed="81"/>
            <rFont val="Tahoma"/>
            <family val="2"/>
          </rPr>
          <t>Includes 1/3 of 1999 depreciation</t>
        </r>
      </text>
    </comment>
    <comment ref="J15" authorId="0" shapeId="0">
      <text>
        <r>
          <rPr>
            <sz val="8"/>
            <color indexed="81"/>
            <rFont val="Tahoma"/>
            <family val="2"/>
          </rPr>
          <t>Includes 1/3 of 2000 depreciation</t>
        </r>
      </text>
    </comment>
    <comment ref="K15" authorId="0" shapeId="0">
      <text>
        <r>
          <rPr>
            <sz val="8"/>
            <color indexed="81"/>
            <rFont val="Tahoma"/>
            <family val="2"/>
          </rPr>
          <t>Already includes the depreciation add back from the average of 1999 and 2000.</t>
        </r>
      </text>
    </comment>
    <comment ref="I19" authorId="0" shapeId="0">
      <text>
        <r>
          <rPr>
            <sz val="8"/>
            <color indexed="81"/>
            <rFont val="Tahoma"/>
            <family val="2"/>
          </rPr>
          <t xml:space="preserve">Includes 2/3 of 1999 depreciation
</t>
        </r>
      </text>
    </comment>
    <comment ref="J19" authorId="0" shapeId="0">
      <text>
        <r>
          <rPr>
            <sz val="8"/>
            <color indexed="81"/>
            <rFont val="Tahoma"/>
            <family val="2"/>
          </rPr>
          <t>Includes 2/3 of 2000 depreciation</t>
        </r>
      </text>
    </comment>
    <comment ref="L23" authorId="1" shapeId="0">
      <text>
        <r>
          <rPr>
            <b/>
            <sz val="8"/>
            <color indexed="81"/>
            <rFont val="Tahoma"/>
          </rPr>
          <t>gbenite:</t>
        </r>
        <r>
          <rPr>
            <sz val="8"/>
            <color indexed="81"/>
            <rFont val="Tahoma"/>
          </rPr>
          <t xml:space="preserve">
Average of non shareholder and non LPG london SG&amp;A
</t>
        </r>
      </text>
    </comment>
    <comment ref="L27" authorId="0" shapeId="0">
      <text>
        <r>
          <rPr>
            <sz val="8"/>
            <color indexed="81"/>
            <rFont val="Tahoma"/>
            <family val="2"/>
          </rPr>
          <t>Assumes a Stanton retainer of $1.0MM per annum or $500k for these 6 months &amp; $2MM per annum for retention expenses.</t>
        </r>
      </text>
    </comment>
    <comment ref="M27" authorId="0" shapeId="0">
      <text>
        <r>
          <rPr>
            <sz val="8"/>
            <color indexed="81"/>
            <rFont val="Tahoma"/>
            <family val="2"/>
          </rPr>
          <t>Assumes a Stanton retainer of $1.0MM per annum and $2MM per annum in retention expenses.</t>
        </r>
      </text>
    </comment>
    <comment ref="Q53" authorId="2" shapeId="0">
      <text>
        <r>
          <rPr>
            <b/>
            <sz val="8"/>
            <color indexed="81"/>
            <rFont val="Tahoma"/>
          </rPr>
          <t>Raul Rizo-Patron:</t>
        </r>
        <r>
          <rPr>
            <sz val="8"/>
            <color indexed="81"/>
            <rFont val="Tahoma"/>
          </rPr>
          <t xml:space="preserve">
Year 5 EBITDa plus add back of non-recurring retention expenses times exit multiple</t>
        </r>
      </text>
    </comment>
  </commentList>
</comments>
</file>

<file path=xl/comments7.xml><?xml version="1.0" encoding="utf-8"?>
<comments xmlns="http://schemas.openxmlformats.org/spreadsheetml/2006/main">
  <authors>
    <author>gbenite</author>
  </authors>
  <commentList>
    <comment ref="L4" authorId="0" shapeId="0">
      <text>
        <r>
          <rPr>
            <b/>
            <sz val="8"/>
            <color indexed="81"/>
            <rFont val="Tahoma"/>
          </rPr>
          <t>gbenite:</t>
        </r>
        <r>
          <rPr>
            <sz val="8"/>
            <color indexed="81"/>
            <rFont val="Tahoma"/>
          </rPr>
          <t xml:space="preserve">
Same thing as Cash for Assets</t>
        </r>
      </text>
    </comment>
    <comment ref="Q4" authorId="0" shapeId="0">
      <text>
        <r>
          <rPr>
            <b/>
            <sz val="8"/>
            <color indexed="81"/>
            <rFont val="Tahoma"/>
          </rPr>
          <t>gbenite:</t>
        </r>
        <r>
          <rPr>
            <sz val="8"/>
            <color indexed="81"/>
            <rFont val="Tahoma"/>
          </rPr>
          <t xml:space="preserve">
Same thing as Cash for Assets</t>
        </r>
      </text>
    </comment>
  </commentList>
</comments>
</file>

<file path=xl/comments8.xml><?xml version="1.0" encoding="utf-8"?>
<comments xmlns="http://schemas.openxmlformats.org/spreadsheetml/2006/main">
  <authors>
    <author>Preferred Customer</author>
    <author>Raul Rizo-Patron</author>
  </authors>
  <commentList>
    <comment ref="D18" authorId="0" shapeId="0">
      <text>
        <r>
          <rPr>
            <sz val="8"/>
            <color indexed="81"/>
            <rFont val="Tahoma"/>
            <family val="2"/>
          </rPr>
          <t>Equals $123 book value minus $16.5 book value for Sea 3 dated Sept 00 minus $1.0 book value for railcars dated Dec 00.</t>
        </r>
        <r>
          <rPr>
            <sz val="8"/>
            <color indexed="81"/>
            <rFont val="Tahoma"/>
          </rPr>
          <t xml:space="preserve">
</t>
        </r>
      </text>
    </comment>
    <comment ref="D21" authorId="1" shapeId="0">
      <text>
        <r>
          <rPr>
            <sz val="8"/>
            <color indexed="81"/>
            <rFont val="Tahoma"/>
          </rPr>
          <t>EBITDA minus SEA-3 trading profit Add back, plus SEA-3 depreciation, minus 1MM bonuses and SG&amp;A</t>
        </r>
      </text>
    </comment>
  </commentList>
</comments>
</file>

<file path=xl/comments9.xml><?xml version="1.0" encoding="utf-8"?>
<comments xmlns="http://schemas.openxmlformats.org/spreadsheetml/2006/main">
  <authors>
    <author>Preferred Customer</author>
  </authors>
  <commentList>
    <comment ref="D12" authorId="0" shapeId="0">
      <text>
        <r>
          <rPr>
            <sz val="8"/>
            <color indexed="81"/>
            <rFont val="Tahoma"/>
            <family val="2"/>
          </rPr>
          <t>Equals the equity value of the terminals and rails operations business defined as ($123 total enterprise BV minus $105 trading BV)</t>
        </r>
      </text>
    </comment>
  </commentList>
</comments>
</file>

<file path=xl/sharedStrings.xml><?xml version="1.0" encoding="utf-8"?>
<sst xmlns="http://schemas.openxmlformats.org/spreadsheetml/2006/main" count="2046" uniqueCount="995">
  <si>
    <t>ASSETS</t>
  </si>
  <si>
    <t>CURRENT ASSETS</t>
  </si>
  <si>
    <t>Cash &amp; Cash Equivalents</t>
  </si>
  <si>
    <t>Bankers' Acceptances</t>
  </si>
  <si>
    <t>Marketable Securities</t>
  </si>
  <si>
    <t>Accounts Receivable (Net)</t>
  </si>
  <si>
    <t>Inventories</t>
  </si>
  <si>
    <t>Prepaid Expenses &amp; Other CA</t>
  </si>
  <si>
    <t xml:space="preserve">  Total Current Assets</t>
  </si>
  <si>
    <t>INVESTMENTS &amp; OTHER ASSETS</t>
  </si>
  <si>
    <t>PPE (NET)</t>
  </si>
  <si>
    <t>TOTAL ASSETS</t>
  </si>
  <si>
    <t>LIABILITIES &amp; SHAREHOLDER'S EQUITY</t>
  </si>
  <si>
    <t>Current</t>
  </si>
  <si>
    <t>CURRENT LIABILITIES</t>
  </si>
  <si>
    <t>Loan payable to banks</t>
  </si>
  <si>
    <t>Accounts Payable</t>
  </si>
  <si>
    <t>Accrued Expenses</t>
  </si>
  <si>
    <t>Income Taxes Payable</t>
  </si>
  <si>
    <t xml:space="preserve">   Total Current Liabilities</t>
  </si>
  <si>
    <t>DEFERRED INCOME TAXES</t>
  </si>
  <si>
    <t>SHAREHOLDER'S EQUITY</t>
  </si>
  <si>
    <t>TOTAL LIABILITIES &amp; SHAREHOLDER'S EQUITY</t>
  </si>
  <si>
    <t>LONG TERM DEBT</t>
  </si>
  <si>
    <t>check</t>
  </si>
  <si>
    <t xml:space="preserve"> </t>
  </si>
  <si>
    <t>REVENUES</t>
  </si>
  <si>
    <t>Net Sales</t>
  </si>
  <si>
    <t>Transportation Revenues</t>
  </si>
  <si>
    <t>Investment and interest income</t>
  </si>
  <si>
    <t>Equity in Net Earnings of Affiliated Companies</t>
  </si>
  <si>
    <t xml:space="preserve">   Total Revenues</t>
  </si>
  <si>
    <t>COSTS AND EXPENSES</t>
  </si>
  <si>
    <t>Selling and administrative expenses</t>
  </si>
  <si>
    <t>Cost of sales</t>
  </si>
  <si>
    <t>Transportation cost</t>
  </si>
  <si>
    <t xml:space="preserve">   Total Costs and Expenses</t>
  </si>
  <si>
    <t>EARNINGS BEFORE TAXES</t>
  </si>
  <si>
    <t>INCOME TAXES</t>
  </si>
  <si>
    <t>Deferred</t>
  </si>
  <si>
    <t xml:space="preserve">  Net</t>
  </si>
  <si>
    <t>EARNINGS</t>
  </si>
  <si>
    <t>Product Margin (before SGA)</t>
  </si>
  <si>
    <t>Net Earnings</t>
  </si>
  <si>
    <t xml:space="preserve">  Depreciation and amortization</t>
  </si>
  <si>
    <t xml:space="preserve">  Deferred income taxes</t>
  </si>
  <si>
    <t xml:space="preserve">  Changes in assets and liabilities</t>
  </si>
  <si>
    <t xml:space="preserve">     Banker's acceptances</t>
  </si>
  <si>
    <t xml:space="preserve">     Inventories</t>
  </si>
  <si>
    <t xml:space="preserve">     Prepaid expenses and other current assets</t>
  </si>
  <si>
    <t xml:space="preserve">     Accounts payable</t>
  </si>
  <si>
    <t xml:space="preserve">     Accrued expenses</t>
  </si>
  <si>
    <t xml:space="preserve">     Income taxes payable</t>
  </si>
  <si>
    <t>CASH FLOW FROM OPERATING ACTIVITIES</t>
  </si>
  <si>
    <t>CASH FLOW FROM INVESTING ACTIVITIES</t>
  </si>
  <si>
    <t>Payments for purchases of marketable securities</t>
  </si>
  <si>
    <t>Increase in investments and other assets</t>
  </si>
  <si>
    <t>Net additions to PPE</t>
  </si>
  <si>
    <t>Proceeds from sale and maturities of marketable securities</t>
  </si>
  <si>
    <t>CASH FLOW FROM FINANCING ACTIVITIES</t>
  </si>
  <si>
    <t>Cash provided by financing activities</t>
  </si>
  <si>
    <t>Cash dividends paid</t>
  </si>
  <si>
    <t>Net Cash Provided by (Used in) Operating Activities</t>
  </si>
  <si>
    <t>Net Cash Provided by (Used in) Investing Activities</t>
  </si>
  <si>
    <t>Net Cash Provided by (Used in) Financing Activities</t>
  </si>
  <si>
    <t>Net Increase (Decrease) In Cash And Cash Equivalents</t>
  </si>
  <si>
    <t>Cash and Cash Equivalents, Beginning of Year</t>
  </si>
  <si>
    <t>Cash and Cash Equivalents, End of Year</t>
  </si>
  <si>
    <t>A/R Turnover (days)</t>
  </si>
  <si>
    <t>SG&amp;A as % of sales</t>
  </si>
  <si>
    <t>D/E</t>
  </si>
  <si>
    <t>Transportation Margin (before SG&amp;A)</t>
  </si>
  <si>
    <t>Combined Margin (before SG&amp;A)</t>
  </si>
  <si>
    <t>EBITDA Margin (excluding investment &amp; equity earnings)</t>
  </si>
  <si>
    <t>IBT Margin (all-in)</t>
  </si>
  <si>
    <t>Net Margin (all-in)</t>
  </si>
  <si>
    <t>CASH FLOW STATEMENT ($000)</t>
  </si>
  <si>
    <t>BALANCE SHEET ($000)</t>
  </si>
  <si>
    <t>Inventory Turnover in Days (using sales not COGS)</t>
  </si>
  <si>
    <t>Invested Capital (assets)</t>
  </si>
  <si>
    <t>Invested Capital (liab + equity)</t>
  </si>
  <si>
    <t>ROIC</t>
  </si>
  <si>
    <t>EBIT</t>
  </si>
  <si>
    <t>Taxes on EBIT</t>
  </si>
  <si>
    <t>Change in deferred taxes</t>
  </si>
  <si>
    <t>NOPLAT</t>
  </si>
  <si>
    <t>Net Income</t>
  </si>
  <si>
    <t>Add:  Increase in deferred taxes</t>
  </si>
  <si>
    <t>Add. Goodwill amortization</t>
  </si>
  <si>
    <t>Add:  Interest expense after tax</t>
  </si>
  <si>
    <t>Less:  Interest income after tax</t>
  </si>
  <si>
    <t>Less:  Nonoperating income after tax</t>
  </si>
  <si>
    <t>Estimated Investment Income</t>
  </si>
  <si>
    <t>NOPLAT (from below)</t>
  </si>
  <si>
    <t>Invested Capital</t>
  </si>
  <si>
    <t>FCF</t>
  </si>
  <si>
    <t>Gross CF</t>
  </si>
  <si>
    <t>CAPEX</t>
  </si>
  <si>
    <t>Current Assets (W/C)</t>
  </si>
  <si>
    <t>Current Liabilities (W/C)</t>
  </si>
  <si>
    <t>Net Working Capital</t>
  </si>
  <si>
    <t>Plus:  Depreciation</t>
  </si>
  <si>
    <t>Minus:  Non-Cash Earnings from Investments</t>
  </si>
  <si>
    <t>Gross CF (from operations)</t>
  </si>
  <si>
    <t>WACC (estimated)</t>
  </si>
  <si>
    <t>Economic Value Created (Destroyed)</t>
  </si>
  <si>
    <t>P/E</t>
  </si>
  <si>
    <t>EBITDA</t>
  </si>
  <si>
    <t>Estimated Interest Income (5.5%)</t>
  </si>
  <si>
    <t>EBITDA (excluding investment earnings)</t>
  </si>
  <si>
    <t>Firm Value</t>
  </si>
  <si>
    <t>Est. EBITDA Multiple</t>
  </si>
  <si>
    <t>EBITDA Multiple</t>
  </si>
  <si>
    <t>Minus Debt</t>
  </si>
  <si>
    <t>Equity Value</t>
  </si>
  <si>
    <t>Debt</t>
  </si>
  <si>
    <t>Cash from Operations</t>
  </si>
  <si>
    <t>Cash From Operations (includes W/C &amp; not financings)</t>
  </si>
  <si>
    <t>Plus Cash</t>
  </si>
  <si>
    <t>Equity</t>
  </si>
  <si>
    <t>Total Assets</t>
  </si>
  <si>
    <t>Adj Book Value</t>
  </si>
  <si>
    <t>Minus: Capital Charge</t>
  </si>
  <si>
    <t>Plus:  Def Tax + Equity</t>
  </si>
  <si>
    <t>Debt / Invested Capital</t>
  </si>
  <si>
    <t>Equity / Invested Capital</t>
  </si>
  <si>
    <t>Value Left Over for Equity Investors</t>
  </si>
  <si>
    <t>Investor Value Generated (NOPLAT)</t>
  </si>
  <si>
    <t>Value Promised to Equity Investors</t>
  </si>
  <si>
    <t>Total Capital</t>
  </si>
  <si>
    <t>Excess (Short) Value to Equity Investors</t>
  </si>
  <si>
    <t>Total Invested Capital</t>
  </si>
  <si>
    <t>Less:  After Tax Interest Charge</t>
  </si>
  <si>
    <t>Actual Value Return to Equity Investors</t>
  </si>
  <si>
    <t>EBITDA / Interest</t>
  </si>
  <si>
    <t>Plus (minus) Financial Trading Value</t>
  </si>
  <si>
    <t xml:space="preserve">   Total Synergistic Value</t>
  </si>
  <si>
    <t>PLUS (MINUS) DEAL SYNERGIES</t>
  </si>
  <si>
    <t>Enron NI</t>
  </si>
  <si>
    <t>Sources</t>
  </si>
  <si>
    <t>Uses</t>
  </si>
  <si>
    <t>Stock Purchase</t>
  </si>
  <si>
    <t>Total Sources</t>
  </si>
  <si>
    <t>Total Uses</t>
  </si>
  <si>
    <t xml:space="preserve">  Total NI</t>
  </si>
  <si>
    <t>Plus (Minus) Goodwill Amort (assume not tax deduct)</t>
  </si>
  <si>
    <t xml:space="preserve">  Total Transaction Business Costs</t>
  </si>
  <si>
    <t>Consolidated Net Income After Synergies</t>
  </si>
  <si>
    <t>Transammonia NI w/Synergies</t>
  </si>
  <si>
    <t>Transammonia</t>
  </si>
  <si>
    <t>LPG London &amp; Related Transportation</t>
  </si>
  <si>
    <t>LPG Houston</t>
  </si>
  <si>
    <t>Sea-3</t>
  </si>
  <si>
    <t>Urea (with paper)</t>
  </si>
  <si>
    <t>Ammonia (with paper &amp; transport)</t>
  </si>
  <si>
    <t>Sulfur</t>
  </si>
  <si>
    <t>Ammonium Nitrate</t>
  </si>
  <si>
    <t>NPKs</t>
  </si>
  <si>
    <t>UAN Solutions</t>
  </si>
  <si>
    <t>Sulfuric Acid</t>
  </si>
  <si>
    <t>Potash</t>
  </si>
  <si>
    <t>Diammonium Phosphate (with paper)</t>
  </si>
  <si>
    <t>Phosphate Rock</t>
  </si>
  <si>
    <t>Ammonium Sulfate</t>
  </si>
  <si>
    <t>Calcium Ammonium Nitrate</t>
  </si>
  <si>
    <t>Monoammonium Phosphate</t>
  </si>
  <si>
    <t>Kola Apatite</t>
  </si>
  <si>
    <t>SOP</t>
  </si>
  <si>
    <t>K-mag</t>
  </si>
  <si>
    <t>TSP</t>
  </si>
  <si>
    <t>GTSP</t>
  </si>
  <si>
    <t>Copper Sulfate</t>
  </si>
  <si>
    <t>P205</t>
  </si>
  <si>
    <t>GSSP</t>
  </si>
  <si>
    <t>PKs</t>
  </si>
  <si>
    <t>Naptha (with paper)</t>
  </si>
  <si>
    <t>MTBE (with paper)</t>
  </si>
  <si>
    <t>Benzene (with paper)</t>
  </si>
  <si>
    <t>Paraxylene</t>
  </si>
  <si>
    <t>Methanol</t>
  </si>
  <si>
    <t>Mixed Xylene</t>
  </si>
  <si>
    <t>Styrene Monomer</t>
  </si>
  <si>
    <t>Propylene</t>
  </si>
  <si>
    <t>Toluene</t>
  </si>
  <si>
    <t>Ethylene</t>
  </si>
  <si>
    <t>Caprolactam</t>
  </si>
  <si>
    <t>Urotropine</t>
  </si>
  <si>
    <t>Orthoxylene</t>
  </si>
  <si>
    <t>Meg</t>
  </si>
  <si>
    <t>Pygas</t>
  </si>
  <si>
    <t>C-9</t>
  </si>
  <si>
    <t>Cyclohexane</t>
  </si>
  <si>
    <t>Pythalic A</t>
  </si>
  <si>
    <t>Unleaded Gasoline (paper)</t>
  </si>
  <si>
    <t>Totals</t>
  </si>
  <si>
    <t>Propane (with paper)</t>
  </si>
  <si>
    <t>Natural Gasoline (with paper)</t>
  </si>
  <si>
    <t>Ethane (with paper)</t>
  </si>
  <si>
    <t>E-P</t>
  </si>
  <si>
    <t>Butane</t>
  </si>
  <si>
    <t>Isobutane</t>
  </si>
  <si>
    <t>Naptha (paper)</t>
  </si>
  <si>
    <t>Brent Crude Oil (paper)</t>
  </si>
  <si>
    <t>Propane at terminal(s)</t>
  </si>
  <si>
    <t>Propane at mt belvieu</t>
  </si>
  <si>
    <t xml:space="preserve">    Totals</t>
  </si>
  <si>
    <t>All Segments Total</t>
  </si>
  <si>
    <t xml:space="preserve">    Fertilizers</t>
  </si>
  <si>
    <t xml:space="preserve">    LPG Houston</t>
  </si>
  <si>
    <t xml:space="preserve">    Sea-3</t>
  </si>
  <si>
    <t xml:space="preserve">    LPG London</t>
  </si>
  <si>
    <t>Discontinued</t>
  </si>
  <si>
    <t xml:space="preserve">    Trammochem: (totals only)</t>
  </si>
  <si>
    <t>SALES IN METRIC TONS</t>
  </si>
  <si>
    <t>No Data</t>
  </si>
  <si>
    <t>SUMMARY OF TRADING PROFITS</t>
  </si>
  <si>
    <t>Below the line adjustments</t>
  </si>
  <si>
    <t>Natural Gas</t>
  </si>
  <si>
    <t>Transportation</t>
  </si>
  <si>
    <t>Below The Line Items</t>
  </si>
  <si>
    <t>Corporate Trading Profits</t>
  </si>
  <si>
    <t>SUMMARY OF TRADING MARGINS</t>
  </si>
  <si>
    <t>Adjusted Earnings After Tax</t>
  </si>
  <si>
    <t>Adjusted EBITDA</t>
  </si>
  <si>
    <t>Sales In Metric Tons (000)</t>
  </si>
  <si>
    <t>Percent of Trading Income</t>
  </si>
  <si>
    <t>Trading Income In Dollars ($000)</t>
  </si>
  <si>
    <t>Fertilizers &amp; Related Transportation</t>
  </si>
  <si>
    <t>Anhyrous Ammonia &amp; Related Transport</t>
  </si>
  <si>
    <t>Chemicals</t>
  </si>
  <si>
    <t>Corporate</t>
  </si>
  <si>
    <t>Selling and Admin Expenses (exclud. bonuses)</t>
  </si>
  <si>
    <t>Net Interest Expense</t>
  </si>
  <si>
    <t>Income Before Bonuses and Income Taxes</t>
  </si>
  <si>
    <t>Bonuses</t>
  </si>
  <si>
    <t>Income Before Income Taxes</t>
  </si>
  <si>
    <t>Income Taxes</t>
  </si>
  <si>
    <t>Total</t>
  </si>
  <si>
    <t>N/A</t>
  </si>
  <si>
    <t>Minus:  Taxes</t>
  </si>
  <si>
    <t>SUMMARY OF PRODUCT PROFITABILITY</t>
  </si>
  <si>
    <t>LPG London</t>
  </si>
  <si>
    <t>Discontinued Business</t>
  </si>
  <si>
    <t>Trading Income</t>
  </si>
  <si>
    <t>SG&amp;A</t>
  </si>
  <si>
    <t>Net Profit (Loss)</t>
  </si>
  <si>
    <t>IBT</t>
  </si>
  <si>
    <t>A/R</t>
  </si>
  <si>
    <t>Inv</t>
  </si>
  <si>
    <t>A/P</t>
  </si>
  <si>
    <t>Rev</t>
  </si>
  <si>
    <t>COGS</t>
  </si>
  <si>
    <t>Inventory</t>
  </si>
  <si>
    <t>Plus:  Other Assets @ 75%</t>
  </si>
  <si>
    <t>From DCF Model</t>
  </si>
  <si>
    <t>Trading Profit</t>
  </si>
  <si>
    <t>Shareholder Expenses (in SG&amp;A)</t>
  </si>
  <si>
    <t>Salaries, Payroll taxes &amp; benefits</t>
  </si>
  <si>
    <t xml:space="preserve">   Shareholders</t>
  </si>
  <si>
    <t xml:space="preserve">   Other Direct Employees</t>
  </si>
  <si>
    <t xml:space="preserve">   Allocation of Employees from other segments</t>
  </si>
  <si>
    <t>Charitable Donations &amp; Direct Expenses</t>
  </si>
  <si>
    <t>Allocated Expenses (etc)</t>
  </si>
  <si>
    <t>Subtotal</t>
  </si>
  <si>
    <t>Shareholder Bonuses &amp; Profit Sharing Contrib</t>
  </si>
  <si>
    <t>Total Shareholders' Expenses</t>
  </si>
  <si>
    <t>Revenues</t>
  </si>
  <si>
    <t>Annual Book Deprecaition</t>
  </si>
  <si>
    <t>Book Cost</t>
  </si>
  <si>
    <t>Acc Dep</t>
  </si>
  <si>
    <t>Book Basis</t>
  </si>
  <si>
    <t>Additions</t>
  </si>
  <si>
    <t>Sea-3 of Florida</t>
  </si>
  <si>
    <t>TA Terminals</t>
  </si>
  <si>
    <t>Transrail</t>
  </si>
  <si>
    <t>TOTAL</t>
  </si>
  <si>
    <t>1999 Depreciation</t>
  </si>
  <si>
    <t>Annual Tax Deprecaition</t>
  </si>
  <si>
    <t>Sea-3 implied deprecation life</t>
  </si>
  <si>
    <t>30 years</t>
  </si>
  <si>
    <t>Sea-3 deprecation per year</t>
  </si>
  <si>
    <t xml:space="preserve">  Theoretical 1999 sea-3 acc deprecation</t>
  </si>
  <si>
    <t>1999 Depreciation MINUS Sea - 3</t>
  </si>
  <si>
    <t>Implied deprecation life of remaining assets</t>
  </si>
  <si>
    <t>Book/Tax Differential</t>
  </si>
  <si>
    <t>Tax Shield</t>
  </si>
  <si>
    <t>PV</t>
  </si>
  <si>
    <t>Cash</t>
  </si>
  <si>
    <t>Equity (above * discount)</t>
  </si>
  <si>
    <t>Plus:  A/R</t>
  </si>
  <si>
    <t>Plus: Inv</t>
  </si>
  <si>
    <t>Plus: Othe Assets</t>
  </si>
  <si>
    <t xml:space="preserve">   Total Assets</t>
  </si>
  <si>
    <t xml:space="preserve">   Total Liquid Assets</t>
  </si>
  <si>
    <t>Minus:  Liabilities</t>
  </si>
  <si>
    <t>Liquidation Value</t>
  </si>
  <si>
    <t>Plus:  PPE @ 100% BV</t>
  </si>
  <si>
    <t>Value of New Hampshire Terminal</t>
  </si>
  <si>
    <t>Total Value of Terminals</t>
  </si>
  <si>
    <t>Plus: Tampa Terminal @ BV</t>
  </si>
  <si>
    <t>Mkt Cap Accreation @ current P/E</t>
  </si>
  <si>
    <t xml:space="preserve">   Total Value PP&amp;E</t>
  </si>
  <si>
    <t>Days modeled</t>
  </si>
  <si>
    <t>Current P/E</t>
  </si>
  <si>
    <t>Sources of tonnage</t>
  </si>
  <si>
    <t>% of tonnage</t>
  </si>
  <si>
    <t>Enron Rating</t>
  </si>
  <si>
    <t xml:space="preserve">S&amp;P </t>
  </si>
  <si>
    <t>Moody</t>
  </si>
  <si>
    <t>Fitch</t>
  </si>
  <si>
    <t>Russia</t>
  </si>
  <si>
    <t>B-</t>
  </si>
  <si>
    <t>B2</t>
  </si>
  <si>
    <t>CCC</t>
  </si>
  <si>
    <t>USA</t>
  </si>
  <si>
    <t>AAA</t>
  </si>
  <si>
    <t>Aaa</t>
  </si>
  <si>
    <t>Ukraine</t>
  </si>
  <si>
    <t>-</t>
  </si>
  <si>
    <t>Caa1</t>
  </si>
  <si>
    <t>Romania</t>
  </si>
  <si>
    <t>B3</t>
  </si>
  <si>
    <t>Canada</t>
  </si>
  <si>
    <t>AA+</t>
  </si>
  <si>
    <t>Aa1</t>
  </si>
  <si>
    <t>AA</t>
  </si>
  <si>
    <t>Bangladesh</t>
  </si>
  <si>
    <t>Algeria</t>
  </si>
  <si>
    <t>Bulgaria</t>
  </si>
  <si>
    <t>B+</t>
  </si>
  <si>
    <t>B1</t>
  </si>
  <si>
    <t>Others</t>
  </si>
  <si>
    <t>Sales of tonnage</t>
  </si>
  <si>
    <t>China</t>
  </si>
  <si>
    <t>BBB</t>
  </si>
  <si>
    <t>A3</t>
  </si>
  <si>
    <t>A-</t>
  </si>
  <si>
    <t>Turkey</t>
  </si>
  <si>
    <t>B</t>
  </si>
  <si>
    <t>Brazil</t>
  </si>
  <si>
    <t>Mexico</t>
  </si>
  <si>
    <t>BB+</t>
  </si>
  <si>
    <t>Baa3</t>
  </si>
  <si>
    <t xml:space="preserve">BB </t>
  </si>
  <si>
    <t>Italy</t>
  </si>
  <si>
    <t>Aa3</t>
  </si>
  <si>
    <t>AA-</t>
  </si>
  <si>
    <t>Chile</t>
  </si>
  <si>
    <t>Baa1</t>
  </si>
  <si>
    <t>India</t>
  </si>
  <si>
    <t>Ba2</t>
  </si>
  <si>
    <t>Spain</t>
  </si>
  <si>
    <t>Aa2</t>
  </si>
  <si>
    <t>Vietnam</t>
  </si>
  <si>
    <t>AR in LPG London</t>
  </si>
  <si>
    <t>Inventory in LPG London</t>
  </si>
  <si>
    <t>Payables in LPG London</t>
  </si>
  <si>
    <t>Total Working Capital in LPG</t>
  </si>
  <si>
    <t>Carring cost (Cost of Debt)</t>
  </si>
  <si>
    <t>Interest Expense in LPG London</t>
  </si>
  <si>
    <t>Market Values</t>
  </si>
  <si>
    <t>Existing PP&amp;E</t>
  </si>
  <si>
    <t>Step up in PP&amp;E</t>
  </si>
  <si>
    <t>PLUS: Interest, Taxes and Depreciation Addback</t>
  </si>
  <si>
    <t>Plus:  Shareholder Expenses</t>
  </si>
  <si>
    <t>Plus:  Losses (income) from discontinued operations</t>
  </si>
  <si>
    <t>Segment Summary</t>
  </si>
  <si>
    <t xml:space="preserve">1999 days </t>
  </si>
  <si>
    <t>TRANSAMMONIA VALUATION SUMMARY</t>
  </si>
  <si>
    <t>Step-up (1=yes)</t>
  </si>
  <si>
    <t>Cash for Stock</t>
  </si>
  <si>
    <t>Capital Gain</t>
  </si>
  <si>
    <t>Tax rate</t>
  </si>
  <si>
    <t>Tax</t>
  </si>
  <si>
    <t>Net Proceeds</t>
  </si>
  <si>
    <t>Share Holder Income</t>
  </si>
  <si>
    <t>Corp Level Gain</t>
  </si>
  <si>
    <t>Minus: Basis in TA Assets</t>
  </si>
  <si>
    <t>Minus: Basis in TA Shares</t>
  </si>
  <si>
    <t>No contingent tax liabilities</t>
  </si>
  <si>
    <t>$100MM in off-shore profits</t>
  </si>
  <si>
    <t>Contingent tax liability for</t>
  </si>
  <si>
    <t>Cost of Capital</t>
  </si>
  <si>
    <t>EBITDA Exit Multiple</t>
  </si>
  <si>
    <t xml:space="preserve">10 or 7 year tax depreciation life  </t>
  </si>
  <si>
    <t>PP&amp;E</t>
  </si>
  <si>
    <t>Minus Depreciation</t>
  </si>
  <si>
    <t>Price</t>
  </si>
  <si>
    <t>Goodwill</t>
  </si>
  <si>
    <t>Plus (Minus) Net Interest Expense (after tax)</t>
  </si>
  <si>
    <t>0 for w/out cash</t>
  </si>
  <si>
    <t>1 for w/cash</t>
  </si>
  <si>
    <t>1 for no w/c cash needed</t>
  </si>
  <si>
    <t>0 for $27MM w/c cash needed</t>
  </si>
  <si>
    <t>Revenue</t>
  </si>
  <si>
    <t>Costs</t>
  </si>
  <si>
    <t>DD&amp;A</t>
  </si>
  <si>
    <t>EBT</t>
  </si>
  <si>
    <t>Taxes</t>
  </si>
  <si>
    <t>Plus: DD&amp;A</t>
  </si>
  <si>
    <t xml:space="preserve">Plus: Deferred Tax </t>
  </si>
  <si>
    <t>Less: Capex</t>
  </si>
  <si>
    <t>Cash Flow</t>
  </si>
  <si>
    <t xml:space="preserve">Less: Change in NWC </t>
  </si>
  <si>
    <t>Net Cash Flow</t>
  </si>
  <si>
    <t>Assets</t>
  </si>
  <si>
    <t>Accounts Receivable</t>
  </si>
  <si>
    <t>Other Current Assets</t>
  </si>
  <si>
    <t>Total Current Assets</t>
  </si>
  <si>
    <t>Other Assets</t>
  </si>
  <si>
    <t>Liabilities</t>
  </si>
  <si>
    <t>Short Term Debt</t>
  </si>
  <si>
    <t>Income Tax Payable</t>
  </si>
  <si>
    <t>Total Current Liabilities</t>
  </si>
  <si>
    <t>Long Term Debt</t>
  </si>
  <si>
    <t>Deferred Income Tax</t>
  </si>
  <si>
    <t>Total Liabilities</t>
  </si>
  <si>
    <t>Shareholders Equity</t>
  </si>
  <si>
    <t>Total Liab &amp; Shd. Equity</t>
  </si>
  <si>
    <t>Net Proceeds to Corporate Entity</t>
  </si>
  <si>
    <t>Stock for Stock</t>
  </si>
  <si>
    <t>Equity Valuation</t>
  </si>
  <si>
    <t>EBITDA from Terminals '01</t>
  </si>
  <si>
    <t>Plus: Cash</t>
  </si>
  <si>
    <t>Total Asset Value</t>
  </si>
  <si>
    <t>Goodwill  / Going Concern Value</t>
  </si>
  <si>
    <t>Minus:  Purchase Price</t>
  </si>
  <si>
    <t>% of Book Value</t>
  </si>
  <si>
    <t>Minus:  SG&amp;A (before bonuses)</t>
  </si>
  <si>
    <t>Minus:  Bonuses</t>
  </si>
  <si>
    <t>Total Gross Income</t>
  </si>
  <si>
    <t>Income Before Taxes</t>
  </si>
  <si>
    <t>Minus:  Income Taxes</t>
  </si>
  <si>
    <t>LPG</t>
  </si>
  <si>
    <t>Currently own two terminals, one in NH and one in FL with interesting arbitrage opportunities</t>
  </si>
  <si>
    <t>in 2000 generated trading profits of $7.5MM from the terminals and $8.9MM from financial trading</t>
  </si>
  <si>
    <t>TRAMMOCHEM</t>
  </si>
  <si>
    <t>46% of chemical volume is Naptha, 24% MTBE, 18% benzene and 12% other</t>
  </si>
  <si>
    <t>Enterprise Value</t>
  </si>
  <si>
    <t>Equity Value as Multiple of:</t>
  </si>
  <si>
    <t>Book Value</t>
  </si>
  <si>
    <t>Enterprise Value as Multiple of:</t>
  </si>
  <si>
    <t>Adjusted</t>
  </si>
  <si>
    <t>Gross Proceeds</t>
  </si>
  <si>
    <t>Tax Payable</t>
  </si>
  <si>
    <t>Plus (minus) Origination</t>
  </si>
  <si>
    <t>Plus:  Def Taxes</t>
  </si>
  <si>
    <t>After Tax Earnings Before Interest</t>
  </si>
  <si>
    <t>Operating CF</t>
  </si>
  <si>
    <t>Minus:  Increase in Capex</t>
  </si>
  <si>
    <t>Liquidation @ Book</t>
  </si>
  <si>
    <t>Total Tax</t>
  </si>
  <si>
    <t xml:space="preserve">10% of total 2000 traded volume, 23% of 1999 trading income and 21% of 2000 trading income </t>
  </si>
  <si>
    <t xml:space="preserve">22% of total 2000 traded volume, 25% of 1999 trading income and 14% of 2000 trading income </t>
  </si>
  <si>
    <t>Sea-3 of New Hampshire with an annual throughput of 255,000 MT and capacity of 51,000 MT</t>
  </si>
  <si>
    <t>Sea-3 of Florida with an annual throughput of 250,000 MT and capacity  of 50,000 MT</t>
  </si>
  <si>
    <t>New Hampshire Terminal 1999</t>
  </si>
  <si>
    <t>Market Value of Assets (1999 Terminals)</t>
  </si>
  <si>
    <t>Market Value of Assets (2000 Terminals)</t>
  </si>
  <si>
    <t>EBITDA Multiple 2001E</t>
  </si>
  <si>
    <t>EBITDA with Synergies 2001E</t>
  </si>
  <si>
    <t>Equity @ Face</t>
  </si>
  <si>
    <t>DCF Analysis - With Synergies</t>
  </si>
  <si>
    <t>Assumptions</t>
  </si>
  <si>
    <t>Terminal Capacity</t>
  </si>
  <si>
    <t>x velocity</t>
  </si>
  <si>
    <t>Vs. Actuals</t>
  </si>
  <si>
    <t>Differential</t>
  </si>
  <si>
    <t>xxxx</t>
  </si>
  <si>
    <t>Terminals</t>
  </si>
  <si>
    <t>Book</t>
  </si>
  <si>
    <t>Sales</t>
  </si>
  <si>
    <t>#Shares</t>
  </si>
  <si>
    <t>EV</t>
  </si>
  <si>
    <t>Mkt Cap/EV</t>
  </si>
  <si>
    <t>BV/Share</t>
  </si>
  <si>
    <t>EPS</t>
  </si>
  <si>
    <t>P/Book</t>
  </si>
  <si>
    <t>P/Sales</t>
  </si>
  <si>
    <t>P/CF</t>
  </si>
  <si>
    <t>EV/Sales</t>
  </si>
  <si>
    <t>EV/EBITDA</t>
  </si>
  <si>
    <t>EV/Market Cap</t>
  </si>
  <si>
    <t>Mkt Cap/FCF</t>
  </si>
  <si>
    <t>Mkt Cap/CF</t>
  </si>
  <si>
    <t>(TMG)</t>
  </si>
  <si>
    <t>TransMontaigne</t>
  </si>
  <si>
    <t>(STNV)</t>
  </si>
  <si>
    <t>Statia Terminals</t>
  </si>
  <si>
    <t>(TPP)</t>
  </si>
  <si>
    <t>TEPPCO</t>
  </si>
  <si>
    <t>(STLBY)</t>
  </si>
  <si>
    <t>Stolt-Nielsen</t>
  </si>
  <si>
    <t>(KPP)</t>
  </si>
  <si>
    <t>Kaneb Pipeline</t>
  </si>
  <si>
    <t>Median</t>
  </si>
  <si>
    <t>(Source: Primark, Media General Financial Services, Reuters)</t>
  </si>
  <si>
    <t xml:space="preserve">EBITDA EXIT </t>
  </si>
  <si>
    <t>Confidentiality Agreement signed (with 6 month non-poach)</t>
  </si>
  <si>
    <t>September 6, 2000</t>
  </si>
  <si>
    <t>Initial introductory meeting with Transammonia</t>
  </si>
  <si>
    <t>Transammonia engages CSFB as financial advisor</t>
  </si>
  <si>
    <t>Non-poach clause in CA extended until August 6, 2001</t>
  </si>
  <si>
    <t>Enron initiates its preliminary on-site due diligence</t>
  </si>
  <si>
    <t>Enron presents non-binding initial valuation</t>
  </si>
  <si>
    <t>Meeting with Ronald Stanton (Transammonia Chairman)</t>
  </si>
  <si>
    <t>Enron presents revised non-binding valuation</t>
  </si>
  <si>
    <t>Additional due diligence</t>
  </si>
  <si>
    <t>Negotiate employee compensation contracts</t>
  </si>
  <si>
    <t>Negotiate Defining Documents</t>
  </si>
  <si>
    <t>November 6, 2000</t>
  </si>
  <si>
    <t>January 2001</t>
  </si>
  <si>
    <t>February 6, 2001</t>
  </si>
  <si>
    <t>February 16, 2001</t>
  </si>
  <si>
    <t>March 6, 2001</t>
  </si>
  <si>
    <t>TBA</t>
  </si>
  <si>
    <t>Event</t>
  </si>
  <si>
    <t>Date</t>
  </si>
  <si>
    <t>Project Ice</t>
  </si>
  <si>
    <t>Confidential</t>
  </si>
  <si>
    <t>Trading Equity Value</t>
  </si>
  <si>
    <t>Minus Corp Debt</t>
  </si>
  <si>
    <t>Plus Sea 3 Debt</t>
  </si>
  <si>
    <t>Trading Enterprise Value</t>
  </si>
  <si>
    <t>ENE Synergies</t>
  </si>
  <si>
    <t xml:space="preserve">SEA-3 </t>
  </si>
  <si>
    <t>I.  Environmental</t>
  </si>
  <si>
    <t xml:space="preserve">II.  Legal </t>
  </si>
  <si>
    <t xml:space="preserve">III.  Accounting </t>
  </si>
  <si>
    <t>IV.  Credit</t>
  </si>
  <si>
    <t>B.  Counterparty risk</t>
  </si>
  <si>
    <t>A.  Sovereign risk</t>
  </si>
  <si>
    <t>C.  Working capital review</t>
  </si>
  <si>
    <t>V.  Human Resources</t>
  </si>
  <si>
    <t>A.  Integration</t>
  </si>
  <si>
    <t>VI.  Trading</t>
  </si>
  <si>
    <t>VII.  Tax</t>
  </si>
  <si>
    <t>VIII.  Finance</t>
  </si>
  <si>
    <t>A.  Possible monetization of LPG in storage</t>
  </si>
  <si>
    <t>B.  Lease contract analysis</t>
  </si>
  <si>
    <t>IX.  General</t>
  </si>
  <si>
    <t>B.  Key employee background check</t>
  </si>
  <si>
    <t>X.  Transportation</t>
  </si>
  <si>
    <t>A.  Vessels</t>
  </si>
  <si>
    <t>B.  Rail cars</t>
  </si>
  <si>
    <t>I.  FERTILIZERS AND AMMONIA</t>
  </si>
  <si>
    <t>B.  Fertilizers accounted 47% of 1999 trading income</t>
  </si>
  <si>
    <t xml:space="preserve">C.  Fertilizers accounted for 2000 trading income </t>
  </si>
  <si>
    <t>A.  Fertilizers accounted for 55% of total 2000 traded volume</t>
  </si>
  <si>
    <t>D.  Ammonia accounted for 13% of total 2000 traded volume</t>
  </si>
  <si>
    <t xml:space="preserve">E.  Ammonia accounted for 6% of 1999 trading income </t>
  </si>
  <si>
    <t xml:space="preserve">F.  Ammonia accounted for 13% of 2000 trading income </t>
  </si>
  <si>
    <t>G.  World's largest fertilizer and ammonia trading company with 11.6MT traded in 2000</t>
  </si>
  <si>
    <t>H.  Sales in 70 counties to approximately 475 buyers in 2000</t>
  </si>
  <si>
    <t>I.  Purchases from over 50 counties and approximately 225 suppliers in 2000</t>
  </si>
  <si>
    <t>J.  Meredosia Illinois Ammonia terminal with throughput of about 40,000 MT and capacity for 36,000 MT</t>
  </si>
  <si>
    <t>K.  IMC Ammonia Terminal in Tampa, leased with exclusive throughput rights to 80-100K sts/year</t>
  </si>
  <si>
    <t>L.  At present Transammonia has 7 vessels on time charters with the average charter length of 3-4 years</t>
  </si>
  <si>
    <t>M.  Own 200 sulphur rails cars in the US</t>
  </si>
  <si>
    <t>I.  Valuation Assumptions</t>
  </si>
  <si>
    <t>II.  Tax Assumptions</t>
  </si>
  <si>
    <t>Valuation ($000)</t>
  </si>
  <si>
    <t>DCF ($000)</t>
  </si>
  <si>
    <t>NPV @</t>
  </si>
  <si>
    <t>Gross Margin</t>
  </si>
  <si>
    <t>Timeline</t>
  </si>
  <si>
    <t>Additional Due Diligence</t>
  </si>
  <si>
    <t>Project Ice Update</t>
  </si>
  <si>
    <t>INCOME STATEMENT</t>
  </si>
  <si>
    <t>BALANCE SHEET</t>
  </si>
  <si>
    <t>Mkt Cap</t>
  </si>
  <si>
    <t>Comparables ($MM)</t>
  </si>
  <si>
    <t>Trading @ 1 - 1.4x book</t>
  </si>
  <si>
    <t>Less Debt</t>
  </si>
  <si>
    <t>Total Gross Margin</t>
  </si>
  <si>
    <t>B.  Key employee retention</t>
  </si>
  <si>
    <t>Financials</t>
  </si>
  <si>
    <t>Gross Margin (cents / gal)</t>
  </si>
  <si>
    <t>Source:  Historical results were supplied by Transammonia.  Projections are based on Enron assumptions.</t>
  </si>
  <si>
    <t>Minus:  Decrease (Increase) In NWC</t>
  </si>
  <si>
    <t>Decrease (Increase) in W/C</t>
  </si>
  <si>
    <t>Decrease (Increase) in CAPEX</t>
  </si>
  <si>
    <t>Gross Decrease (Increase) in Investment</t>
  </si>
  <si>
    <t>Decrease (Increase) in NWC</t>
  </si>
  <si>
    <t>Current Assets (minus cash)</t>
  </si>
  <si>
    <t>Current Liab.(minus debt)</t>
  </si>
  <si>
    <t>Total NWC</t>
  </si>
  <si>
    <t>Decrease (Increase in NWC)</t>
  </si>
  <si>
    <t>Minus SG&amp;A</t>
  </si>
  <si>
    <t>Minus Taxes</t>
  </si>
  <si>
    <t>Plus Deferred Taxes</t>
  </si>
  <si>
    <t>Plus Depreciation</t>
  </si>
  <si>
    <t>Minus Capex</t>
  </si>
  <si>
    <t>Minus Increase in NWC</t>
  </si>
  <si>
    <t>Sea 3 New Hampshire (Book)</t>
  </si>
  <si>
    <t>Sea 3 New Hampshire (Tax)</t>
  </si>
  <si>
    <t>Book Tax Differential</t>
  </si>
  <si>
    <t>Sea 3 Tampa (Book)</t>
  </si>
  <si>
    <t>Sea 3 Tampa (Tax)</t>
  </si>
  <si>
    <t>December</t>
  </si>
  <si>
    <t>Jan - June</t>
  </si>
  <si>
    <t>July - Dec</t>
  </si>
  <si>
    <t xml:space="preserve">June </t>
  </si>
  <si>
    <t>June</t>
  </si>
  <si>
    <t>Plus:  Synergies</t>
  </si>
  <si>
    <t>Source:  Historical results were supplied by Transammonia.  Projections are based on Enron assumptions including synergies.</t>
  </si>
  <si>
    <t xml:space="preserve">              Value Range</t>
  </si>
  <si>
    <t>Depreciation Life</t>
  </si>
  <si>
    <t>Plus:  DD&amp;A</t>
  </si>
  <si>
    <t>Minus: DD&amp;A</t>
  </si>
  <si>
    <t>Asset Level Deals</t>
  </si>
  <si>
    <t>Acquirer</t>
  </si>
  <si>
    <t>Target</t>
  </si>
  <si>
    <t>Close Date</t>
  </si>
  <si>
    <t>Transaction Value</t>
  </si>
  <si>
    <t>LTM EBITDA</t>
  </si>
  <si>
    <t>TV/ EBITDA</t>
  </si>
  <si>
    <t>TV/ Book Value</t>
  </si>
  <si>
    <t>Kinder Morgan</t>
  </si>
  <si>
    <t>GATX</t>
  </si>
  <si>
    <t>1qtr. 2001 Est</t>
  </si>
  <si>
    <t>Allegheny Energy</t>
  </si>
  <si>
    <r>
      <t xml:space="preserve">Global Energy Markets </t>
    </r>
    <r>
      <rPr>
        <vertAlign val="superscript"/>
        <sz val="10"/>
        <rFont val="Arial"/>
        <family val="2"/>
      </rPr>
      <t>(1)</t>
    </r>
  </si>
  <si>
    <t>NA</t>
  </si>
  <si>
    <t>Management led buy-out</t>
  </si>
  <si>
    <t>Corporate Level Deals</t>
  </si>
  <si>
    <t xml:space="preserve">NiSource Inc. </t>
  </si>
  <si>
    <t>Columbia Energy Group</t>
  </si>
  <si>
    <t>El Paso Energy</t>
  </si>
  <si>
    <t>Mean</t>
  </si>
  <si>
    <t>Source: Companies' 10K, 8K, 10Q and other SEC filings</t>
  </si>
  <si>
    <t>Financial Data and ratios are LTM from the announcement date</t>
  </si>
  <si>
    <r>
      <t xml:space="preserve">Bear Paw Energy </t>
    </r>
    <r>
      <rPr>
        <vertAlign val="superscript"/>
        <sz val="8.5"/>
        <rFont val="Arial"/>
        <family val="2"/>
      </rPr>
      <t>(2)</t>
    </r>
  </si>
  <si>
    <t>Comparable M&amp;A Transactions</t>
  </si>
  <si>
    <t>Trailing</t>
  </si>
  <si>
    <t>Minus: DDA</t>
  </si>
  <si>
    <t>LTM DCF</t>
  </si>
  <si>
    <t>NUI Corporation</t>
  </si>
  <si>
    <t>Virginia Gas Co.</t>
  </si>
  <si>
    <t>Pending</t>
  </si>
  <si>
    <r>
      <t>(3)</t>
    </r>
    <r>
      <rPr>
        <i/>
        <sz val="8"/>
        <rFont val="Arial"/>
        <family val="2"/>
      </rPr>
      <t xml:space="preserve"> Coastal's stock price is the effective price after stock offering of 1.23:1 of El Paso's stock. </t>
    </r>
  </si>
  <si>
    <r>
      <t xml:space="preserve">The Coastal Group </t>
    </r>
    <r>
      <rPr>
        <vertAlign val="superscript"/>
        <sz val="8.5"/>
        <rFont val="Arial"/>
        <family val="2"/>
      </rPr>
      <t>(3)</t>
    </r>
  </si>
  <si>
    <r>
      <t>(1)</t>
    </r>
    <r>
      <rPr>
        <i/>
        <sz val="8"/>
        <rFont val="Arial"/>
        <family val="2"/>
      </rPr>
      <t xml:space="preserve"> Global Energy Markets EBITDA is forward looking (2001) and annualized from April 1st. Global Energy Markets was the energy trading arm of Merrill Lynch. </t>
    </r>
  </si>
  <si>
    <r>
      <t>(2)</t>
    </r>
    <r>
      <rPr>
        <i/>
        <sz val="8"/>
        <rFont val="Arial"/>
        <family val="2"/>
      </rPr>
      <t xml:space="preserve"> Bear Paw Energy was a subsidiary of TransMontaigne Inc. </t>
    </r>
  </si>
  <si>
    <t>A.  Terminals sites visits</t>
  </si>
  <si>
    <t>B.  Permitting review</t>
  </si>
  <si>
    <t>A.  Product off-take</t>
  </si>
  <si>
    <t>B.  Sales contract review</t>
  </si>
  <si>
    <t>C.  FCPA review</t>
  </si>
  <si>
    <t>B.  MTM opportunities?</t>
  </si>
  <si>
    <t>C.  Employment contracts</t>
  </si>
  <si>
    <t>A.  International office visits</t>
  </si>
  <si>
    <t>A.  Offshore profits</t>
  </si>
  <si>
    <t>2001A A/R</t>
  </si>
  <si>
    <t>2001A A/P</t>
  </si>
  <si>
    <t>Analysis at Various Prices - Consolidated</t>
  </si>
  <si>
    <t>($Millions)</t>
  </si>
  <si>
    <t>Analysis at Various Prices - Trading</t>
  </si>
  <si>
    <t>Profit &amp; Loss</t>
  </si>
  <si>
    <t>($000's)</t>
  </si>
  <si>
    <t>Financial Summary</t>
  </si>
  <si>
    <t>Income Statement</t>
  </si>
  <si>
    <t>Balance Sheet</t>
  </si>
  <si>
    <t>Cash Flow Statement</t>
  </si>
  <si>
    <t>Sea 3 New Hampshire Valuation</t>
  </si>
  <si>
    <t>Sea 3 Tampa Valuation</t>
  </si>
  <si>
    <t>Trading EBITDA</t>
  </si>
  <si>
    <t>(WEG)</t>
  </si>
  <si>
    <t>Williams Energy Partners</t>
  </si>
  <si>
    <t>(KMP)</t>
  </si>
  <si>
    <t>Kinder Morgan Energy Partners</t>
  </si>
  <si>
    <t>ENRON</t>
  </si>
  <si>
    <t>MG Metals</t>
  </si>
  <si>
    <t>Valuations Summary</t>
  </si>
  <si>
    <t>Sea-3 of Tampa Analysis</t>
  </si>
  <si>
    <t>Minus: SG&amp;A</t>
  </si>
  <si>
    <t>SEA-3 EBITDA</t>
  </si>
  <si>
    <t>Transammonia Log</t>
  </si>
  <si>
    <t>Changed model to have cash exit BS as a dividend</t>
  </si>
  <si>
    <t>Lowered sea-3 SG&amp;A to $2MM and added flexibility</t>
  </si>
  <si>
    <t>Got rid of interest income</t>
  </si>
  <si>
    <t xml:space="preserve">Transammonia Compensation of Traders, Support and Operations </t>
  </si>
  <si>
    <t>Senior Traders</t>
  </si>
  <si>
    <t>Other Traders</t>
  </si>
  <si>
    <t>Direct Office Support</t>
  </si>
  <si>
    <t>Total Fertilizers</t>
  </si>
  <si>
    <t>Traders</t>
  </si>
  <si>
    <t xml:space="preserve">Total Anhydrous Ammonia </t>
  </si>
  <si>
    <t>Total Trammochem</t>
  </si>
  <si>
    <t>Total LPG (including Sea-3)</t>
  </si>
  <si>
    <t>Total - All Employees</t>
  </si>
  <si>
    <t># of Emplyees</t>
  </si>
  <si>
    <t>Total current Base Salaries</t>
  </si>
  <si>
    <t>Average Annual Salary</t>
  </si>
  <si>
    <t>Total Bonuses 1998</t>
  </si>
  <si>
    <t>Total Bonuses 1997</t>
  </si>
  <si>
    <t>Total Bonuses per employee 2000</t>
  </si>
  <si>
    <t>Total Bonuses per employee 1999</t>
  </si>
  <si>
    <t>Total Bonuses per employee 1998</t>
  </si>
  <si>
    <t>Total Bonuses per employee 1997</t>
  </si>
  <si>
    <t>Chairman &amp; Presidents Department</t>
  </si>
  <si>
    <t>Legal Department</t>
  </si>
  <si>
    <t>IT Department</t>
  </si>
  <si>
    <t>Acct, fnce, risk, audit and admin.</t>
  </si>
  <si>
    <t>Total Headquarters</t>
  </si>
  <si>
    <t>Amortization</t>
  </si>
  <si>
    <t>Life</t>
  </si>
  <si>
    <t>NPV of Tax Shield @ 10%</t>
  </si>
  <si>
    <t>Tax Basis</t>
  </si>
  <si>
    <t>Defered Tax Calculation</t>
  </si>
  <si>
    <t>Trading Support, Chartering &amp; Ops</t>
  </si>
  <si>
    <t>Total  Bonuses   2000</t>
  </si>
  <si>
    <t>Value to Enron of Step-up</t>
  </si>
  <si>
    <t>Value of tax shield</t>
  </si>
  <si>
    <t xml:space="preserve">Market value of other assets increased with step-up to their original book values </t>
  </si>
  <si>
    <t>Goodwill calculation ranges from $4MM to $44MM depending on purchase price</t>
  </si>
  <si>
    <t>Market value of NH terminal increases from $27.8MM to $34.2MM as a result of step-up in tax basis</t>
  </si>
  <si>
    <t>Market value of Tampa terminal increases from $28.1MM to $30.6MM as a result of step-up in tax basis</t>
  </si>
  <si>
    <t>added tax step-up toggle</t>
  </si>
  <si>
    <t>2H 2001</t>
  </si>
  <si>
    <t>1H 2001</t>
  </si>
  <si>
    <t>Anhydrous Ammonia (Paris)</t>
  </si>
  <si>
    <t>Fertilizers (Switzerland)</t>
  </si>
  <si>
    <t>Trammochem (Darien)</t>
  </si>
  <si>
    <t>LPG (including Sea-3) (Houston)</t>
  </si>
  <si>
    <t>Headquarters (New York)</t>
  </si>
  <si>
    <t>Total    Bonuses   1999</t>
  </si>
  <si>
    <t>Transammonia Issues</t>
  </si>
  <si>
    <t>Appraisal of WC</t>
  </si>
  <si>
    <t>Why have days outstanding been growing so much</t>
  </si>
  <si>
    <t>Value of LPG and other monetizable inventories</t>
  </si>
  <si>
    <t>Why the huge swings in NWC - need more comfortable to model correctly</t>
  </si>
  <si>
    <t>Details on Tampa and NH - model would be nice</t>
  </si>
  <si>
    <t>Understanding of prepays</t>
  </si>
  <si>
    <t>Value in Lybia and Iran</t>
  </si>
  <si>
    <t>According to them, what will be the main integration issues?</t>
  </si>
  <si>
    <t>How would they see them getting resolved?</t>
  </si>
  <si>
    <t>Depreciation - why do we have sucha low number (about 2mm vs 4mm)</t>
  </si>
  <si>
    <t>Capex requirements going forward</t>
  </si>
  <si>
    <t>Anhyrous Ammonia &amp; Transport</t>
  </si>
  <si>
    <t>Fertilizers &amp; Transport</t>
  </si>
  <si>
    <t>Margins</t>
  </si>
  <si>
    <t>Minus: Operating Expenses</t>
  </si>
  <si>
    <t>Changed deprecaition life on assets to 15 years</t>
  </si>
  <si>
    <t>Changed margins, volumes and TV exit multiple on terminals</t>
  </si>
  <si>
    <t>Redid NWC calculation</t>
  </si>
  <si>
    <t>Added relocation and transition costs of 5MM</t>
  </si>
  <si>
    <t>Added Goodwill calculation 40 years book, 15 tax</t>
  </si>
  <si>
    <t>Plus (minus) Integration, relocation and transition costs</t>
  </si>
  <si>
    <t>C</t>
  </si>
  <si>
    <t>J</t>
  </si>
  <si>
    <t>A</t>
  </si>
  <si>
    <t>D</t>
  </si>
  <si>
    <t>F</t>
  </si>
  <si>
    <t>I</t>
  </si>
  <si>
    <t>K</t>
  </si>
  <si>
    <t>L</t>
  </si>
  <si>
    <t>M</t>
  </si>
  <si>
    <t>N</t>
  </si>
  <si>
    <t>O</t>
  </si>
  <si>
    <t>P</t>
  </si>
  <si>
    <t>Q</t>
  </si>
  <si>
    <t>WACC</t>
  </si>
  <si>
    <t>Income tax rate</t>
  </si>
  <si>
    <t>Pre-tax cost of debt</t>
  </si>
  <si>
    <t>Pre-tax interest income rate</t>
  </si>
  <si>
    <t>Financial trading is based on a percentage of physical urea and ammonia physical business</t>
  </si>
  <si>
    <t>Trading profits growth rate except for Sea 3 business which has its own DCF.</t>
  </si>
  <si>
    <t>Estimated Closing Date</t>
  </si>
  <si>
    <t>TA' stock basis is approximated at $50MM</t>
  </si>
  <si>
    <t>TA's asset basis is approximated at $40MM</t>
  </si>
  <si>
    <t>20% capital gains tax</t>
  </si>
  <si>
    <t>LPG London business was discontinued in 2000.</t>
  </si>
  <si>
    <t>Corporate trading income is the interest rate spread charged to trading and paid to banks.</t>
  </si>
  <si>
    <t>1996 Income Statement reflects a change from C-Corp to S-Corp and thus reflects only partial year results.</t>
  </si>
  <si>
    <t>2000 Income Statement is based on preliminary, unaudited results.</t>
  </si>
  <si>
    <t>Metric Tonnes</t>
  </si>
  <si>
    <t>Domestic Results</t>
  </si>
  <si>
    <t>Transrail - Net</t>
  </si>
  <si>
    <t>Transrail (Book)</t>
  </si>
  <si>
    <t>Transrail (Tax)</t>
  </si>
  <si>
    <t>Changed CAPEX allocation only to the two terminals and not rail cars</t>
  </si>
  <si>
    <t>Built rail car DCF</t>
  </si>
  <si>
    <t xml:space="preserve">Took cash out of NPV's in APV sheet </t>
  </si>
  <si>
    <t>Sulphur Rail Operation</t>
  </si>
  <si>
    <t>Enterprise Value of Terminals &amp; Rail Ops</t>
  </si>
  <si>
    <t>Equity Value of Terminals &amp; Rail Ops</t>
  </si>
  <si>
    <t>Minus Sea 3 Terminals and Rail Ops</t>
  </si>
  <si>
    <t>Plus: Interest add-back</t>
  </si>
  <si>
    <t>Transrail Valuation</t>
  </si>
  <si>
    <t>Updated book value in AVP, number now linked to BS numbers</t>
  </si>
  <si>
    <t>Book Value (1)</t>
  </si>
  <si>
    <t>Terminal and Rail Car Valuation</t>
  </si>
  <si>
    <t>LPG Terminals &amp; Rail Cars DCF (10%)</t>
  </si>
  <si>
    <t>Only Supplemental Data After This Worksheet</t>
  </si>
  <si>
    <t>Gross Operating Income</t>
  </si>
  <si>
    <t>Net Revenue ($000)</t>
  </si>
  <si>
    <t>Sea-3 of New Hampshire Analysis</t>
  </si>
  <si>
    <t>Note:  Assumes 4% growth in operating and SG&amp;A expenses beginning 2003</t>
  </si>
  <si>
    <t>Note:  Assumes 4% growth in operating expenses beginning 2003</t>
  </si>
  <si>
    <t>Margin (above)</t>
  </si>
  <si>
    <t>Volume (gallons)</t>
  </si>
  <si>
    <t>Throughput in Metric Tons ('000)</t>
  </si>
  <si>
    <t>Tampa Terminal</t>
  </si>
  <si>
    <t>NH Terminal</t>
  </si>
  <si>
    <t>Rail Cars</t>
  </si>
  <si>
    <t>Total Rail Cars &amp; Other</t>
  </si>
  <si>
    <t>Total Terminals MV</t>
  </si>
  <si>
    <t>Total PPE</t>
  </si>
  <si>
    <t>Sea-3 of NH</t>
  </si>
  <si>
    <t>$5 in startup expenses were taken as as transaction expense and not on the I/S</t>
  </si>
  <si>
    <t>Minus:  Interest Expense</t>
  </si>
  <si>
    <t>Interest Expense</t>
  </si>
  <si>
    <t>Net Revenues</t>
  </si>
  <si>
    <t>Working Capital (days)</t>
  </si>
  <si>
    <t>Analysis at Various Prices - Terminals &amp; Rail</t>
  </si>
  <si>
    <t>Sea 3 Terminals and Rail Ops Value</t>
  </si>
  <si>
    <t>Minus Applicable Debt</t>
  </si>
  <si>
    <t>Sea 3 &amp; Rail Equity Value</t>
  </si>
  <si>
    <t>Rail Cars EBITDA</t>
  </si>
  <si>
    <t>Sea-3 (after depreciation)</t>
  </si>
  <si>
    <t xml:space="preserve">   EBITDA Terminals</t>
  </si>
  <si>
    <t xml:space="preserve">   EBITDA Rail Cars</t>
  </si>
  <si>
    <t xml:space="preserve">   EBITDA Trading</t>
  </si>
  <si>
    <t>Plus:  Addback of Shareholder's Bonus</t>
  </si>
  <si>
    <t>Plus:  Addback of Shareholder's SG&amp;A</t>
  </si>
  <si>
    <t>ENRON SHARE PRICE</t>
  </si>
  <si>
    <t>STOCK</t>
  </si>
  <si>
    <t xml:space="preserve">PURCHASE </t>
  </si>
  <si>
    <t>Price Analysis</t>
  </si>
  <si>
    <t>($ millions)</t>
  </si>
  <si>
    <t xml:space="preserve">PRICE </t>
  </si>
  <si>
    <t xml:space="preserve"> VALUE OF TERMINALS &amp; RAIL OPS ($ millions)</t>
  </si>
  <si>
    <t>MULTIPLE OF TRADING BV</t>
  </si>
  <si>
    <t>NUMBER OF ENRON SHARES ($000)</t>
  </si>
  <si>
    <t>Full Year</t>
  </si>
  <si>
    <t>Plus DDA</t>
  </si>
  <si>
    <t>Less CAPEX</t>
  </si>
  <si>
    <t>RAIL EBITDA</t>
  </si>
  <si>
    <t>(1) Book value adjusted for Sea-3 and rail cars segments</t>
  </si>
  <si>
    <t>(1) Value of sea-3 and rail cars plus book value of trading operations</t>
  </si>
  <si>
    <t>(2) All forcasts are ENE forecasts</t>
  </si>
  <si>
    <t>Trading Operations</t>
  </si>
  <si>
    <t>Note:  1999 and 2000 results stated in this worksheet will not match actuals on the income statement due to the add-back of shareholder expenses and recalculation of taxes.</t>
  </si>
  <si>
    <t>Percentage of trading profits as bonuses.</t>
  </si>
  <si>
    <t>Minus:  Transition &amp; Relocation costs</t>
  </si>
  <si>
    <t>Value of Tax Step-up</t>
  </si>
  <si>
    <t>Minus Value of Tax Step-Up</t>
  </si>
  <si>
    <t>Trading Equity Value as Multiple of:</t>
  </si>
  <si>
    <t>(1) Asset value in bold designates the actual NPV value of the PPE</t>
  </si>
  <si>
    <t>Offshore profits of $100MM will be kept offshore and will not become a future tax liability.</t>
  </si>
  <si>
    <t>Q1</t>
  </si>
  <si>
    <t>Q2</t>
  </si>
  <si>
    <t>Q3</t>
  </si>
  <si>
    <t>Q4</t>
  </si>
  <si>
    <t>YR End</t>
  </si>
  <si>
    <t>Avg Days '99 &amp; '00</t>
  </si>
  <si>
    <t>LPG HOUSTON</t>
  </si>
  <si>
    <t xml:space="preserve">  Rev</t>
  </si>
  <si>
    <t xml:space="preserve">  Inv</t>
  </si>
  <si>
    <t xml:space="preserve">  Days</t>
  </si>
  <si>
    <t>SEA-3</t>
  </si>
  <si>
    <t>FERTILIZERS</t>
  </si>
  <si>
    <t>CHEMICALS</t>
  </si>
  <si>
    <t xml:space="preserve">  A/R</t>
  </si>
  <si>
    <t>Payables</t>
  </si>
  <si>
    <t>Days</t>
  </si>
  <si>
    <t>old</t>
  </si>
  <si>
    <t>Transaction Adjustments</t>
  </si>
  <si>
    <t>V</t>
  </si>
  <si>
    <t>W</t>
  </si>
  <si>
    <t>Fair value Calculation</t>
  </si>
  <si>
    <t>Purchase Price</t>
  </si>
  <si>
    <t>Fair value</t>
  </si>
  <si>
    <t>Minus:  Pre-closing Shareholders Equity</t>
  </si>
  <si>
    <t>Fair value of assets</t>
  </si>
  <si>
    <t>Minus:  Pre-closing PP&amp;E</t>
  </si>
  <si>
    <t>Asset Step-up</t>
  </si>
  <si>
    <t>Fair value of PPE</t>
  </si>
  <si>
    <t>Days Outstanding</t>
  </si>
  <si>
    <t>Total Working Capital</t>
  </si>
  <si>
    <t>Adjusted Equity Purchase Price</t>
  </si>
  <si>
    <t>Minus Tax Benefit of Step-up in PP&amp;E</t>
  </si>
  <si>
    <t>Plus Working Capital Adjustments</t>
  </si>
  <si>
    <t>Adjusted Equity Value as Multiple of:</t>
  </si>
  <si>
    <t>Adjusted Enterprise Value as Multiple of:</t>
  </si>
  <si>
    <t>Plus Transaction Expenses</t>
  </si>
  <si>
    <t>Adjusted Analysis at Various Prices - Consolidated</t>
  </si>
  <si>
    <t>Sources and Uses</t>
  </si>
  <si>
    <t>Plus Sea 3 Debt - 6/30/01</t>
  </si>
  <si>
    <t>Plus Cash - 6/30/01</t>
  </si>
  <si>
    <t>Minus Corp - Debt 6/30/01</t>
  </si>
  <si>
    <t>Plus Debt - 6/30/01</t>
  </si>
  <si>
    <t>Minus Cash - 6/30/01</t>
  </si>
  <si>
    <t xml:space="preserve"> 6/30/01</t>
  </si>
  <si>
    <t>Adjusted Enterprise Value</t>
  </si>
  <si>
    <t>Adjusted Trading Enterprise Value</t>
  </si>
  <si>
    <t>Adjusted Equity Trading Value</t>
  </si>
  <si>
    <t>Adjusted Equity Trading Value as Multiple of:</t>
  </si>
  <si>
    <t>Adjusted Analysis at Various Prices - Trading</t>
  </si>
  <si>
    <t>Working Capital Adjustments</t>
  </si>
  <si>
    <t>($millions)</t>
  </si>
  <si>
    <t>Equity (Cash)</t>
  </si>
  <si>
    <t>Equity Purchase Price</t>
  </si>
  <si>
    <t>LPG Terminals</t>
  </si>
  <si>
    <t xml:space="preserve">Associated Debt </t>
  </si>
  <si>
    <t>D.  Litigation</t>
  </si>
  <si>
    <t>D.  Benefits</t>
  </si>
  <si>
    <t>A.  Review of positions, controls and operations</t>
  </si>
  <si>
    <t>Proforma</t>
  </si>
  <si>
    <t>Depreciation Schedule</t>
  </si>
  <si>
    <t>DCF Assumptions</t>
  </si>
  <si>
    <t xml:space="preserve">EBITDA terminal value multiple </t>
  </si>
  <si>
    <t>Retention stock for key employees, expensed over 5 years ($millions)</t>
  </si>
  <si>
    <t>Minimum cash balance on the balance sheet ($millions)</t>
  </si>
  <si>
    <t>Transition and relocation costs, expensed at startup ($millions)</t>
  </si>
  <si>
    <t>Assumed price paid for TA equity ($millions)</t>
  </si>
  <si>
    <t>Closing Fees ($millions)</t>
  </si>
  <si>
    <t>Yearly CAPEX ($thousands)</t>
  </si>
  <si>
    <t>Value lost from transacting in China, Lybia and Iran locations (% of fertilizer business)</t>
  </si>
  <si>
    <t>Cash on Balance Sheet 6/30/2001</t>
  </si>
  <si>
    <t>Accounting Depreciation life</t>
  </si>
  <si>
    <t>Accounting Goodwill amortization life</t>
  </si>
  <si>
    <t>II.  Transammonia Notes</t>
  </si>
  <si>
    <t>E</t>
  </si>
  <si>
    <t>G</t>
  </si>
  <si>
    <t>H</t>
  </si>
  <si>
    <t>Segment EBITDA</t>
  </si>
  <si>
    <t>Trading</t>
  </si>
  <si>
    <t>Sea-3 and Rail Ops</t>
  </si>
  <si>
    <t>Rail Operations</t>
  </si>
  <si>
    <t>Minus SG&amp;A and Bonuses</t>
  </si>
  <si>
    <t>Source:  Historical results were adjusted for discontinues operations and shareholder expenses.  Projections are based on Enron assumptions including synergies.</t>
  </si>
  <si>
    <t>Minus Bonuses</t>
  </si>
  <si>
    <t>Plus: Corporate</t>
  </si>
  <si>
    <t>Book Depreciation</t>
  </si>
  <si>
    <t>Depreciation</t>
  </si>
  <si>
    <t>Ending Balance</t>
  </si>
  <si>
    <t>Tax Depreciation</t>
  </si>
  <si>
    <t>Beginning Balance</t>
  </si>
  <si>
    <t>Sea-3 of Tampa</t>
  </si>
  <si>
    <t>Rail Ops</t>
  </si>
  <si>
    <t>Transammonia Depreciation</t>
  </si>
  <si>
    <t>Rail Ops Depreciation</t>
  </si>
  <si>
    <t>Sea-3 Tampa Depreciation</t>
  </si>
  <si>
    <t>Sea-3 of NH Depreciation</t>
  </si>
  <si>
    <t xml:space="preserve">     New Hampshire Terminal</t>
  </si>
  <si>
    <t xml:space="preserve">       Based on ENE DCF @11% WACC and 6x EBITDA exit Multiple</t>
  </si>
  <si>
    <t xml:space="preserve">     Tampa Terminal</t>
  </si>
  <si>
    <t>After-Tax NPV @</t>
  </si>
  <si>
    <t>A.  A/R, A/P &amp; Inventory review</t>
  </si>
  <si>
    <t>E.  Severance obligations</t>
  </si>
  <si>
    <r>
      <t xml:space="preserve">Expenses </t>
    </r>
    <r>
      <rPr>
        <vertAlign val="superscript"/>
        <sz val="8.4"/>
        <rFont val="Arial"/>
        <family val="2"/>
      </rPr>
      <t>(1)</t>
    </r>
  </si>
  <si>
    <t>(1) Expenses include severance, relocation, legal and other associated closing costs</t>
  </si>
  <si>
    <t>EBITDA - Trading</t>
  </si>
  <si>
    <t>EBITDA - Sea-3 and Rail Ops</t>
  </si>
  <si>
    <t xml:space="preserve">Net Revenues </t>
  </si>
  <si>
    <t>Storage Fee &amp; Dock Income</t>
  </si>
  <si>
    <t>Operating Expense</t>
  </si>
  <si>
    <t>Deferred Taxes</t>
  </si>
  <si>
    <t>Capex</t>
  </si>
  <si>
    <t>Increase in NWC</t>
  </si>
  <si>
    <t>Book - Tax</t>
  </si>
  <si>
    <t xml:space="preserve">SG&amp;A </t>
  </si>
  <si>
    <t xml:space="preserve">Bonuses </t>
  </si>
  <si>
    <t>Retention Expenses &amp; Stanton Retainer</t>
  </si>
  <si>
    <t>Financial Trading</t>
  </si>
  <si>
    <t>Origination</t>
  </si>
  <si>
    <t>Value Lost from Undesireable Locations</t>
  </si>
  <si>
    <t>Income Taxes (Effective Rate from Actual Results)</t>
  </si>
  <si>
    <t>Consolidated Valuation - DCF</t>
  </si>
  <si>
    <t>Adjustments to EBIT eliminate discontinued operations and extraordinary shareholder's expenses</t>
  </si>
  <si>
    <t>Financial Companies</t>
  </si>
  <si>
    <t>(GS)</t>
  </si>
  <si>
    <t>Goldman Sachs</t>
  </si>
  <si>
    <t>(MWD)</t>
  </si>
  <si>
    <t>Morgan Stanley</t>
  </si>
  <si>
    <t>(AIG)</t>
  </si>
  <si>
    <t>AIG</t>
  </si>
  <si>
    <t>(LEH)</t>
  </si>
  <si>
    <t>Lehman Brothers</t>
  </si>
  <si>
    <t>(BSC)</t>
  </si>
  <si>
    <t>Bear Sterns</t>
  </si>
  <si>
    <t>Average</t>
  </si>
  <si>
    <t>(1) Value of Sea-3 and rail cars plus book value of trading operations</t>
  </si>
  <si>
    <t>(2) All forecasts are ENE forecasts</t>
  </si>
  <si>
    <t xml:space="preserve">     Accounts receivable</t>
  </si>
  <si>
    <t>Total EBITDA</t>
  </si>
  <si>
    <t>Stanton's Annual Consulting Bonus for 5 years ($millions)</t>
  </si>
  <si>
    <t>Note: Historic EBITDA figures are not adjusted for shareholder expenses and discontinues operations</t>
  </si>
  <si>
    <t>Accounting Goodwill</t>
  </si>
  <si>
    <t>Book Depreciation &amp; Goodwill</t>
  </si>
  <si>
    <t>Tax Depreciation &amp; Goodwill</t>
  </si>
  <si>
    <t>Tax Goodwill</t>
  </si>
  <si>
    <t>Prices as of 03/14/01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</si>
</sst>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quot;$&quot;* #,##0.0_);_(&quot;$&quot;* \(#,##0.0\);_(&quot;$&quot;* &quot;-&quot;??_);_(@_)"/>
    <numFmt numFmtId="165" formatCode="_(&quot;$&quot;* #,##0_);_(&quot;$&quot;* \(#,##0\);_(&quot;$&quot;* &quot;-&quot;??_);_(@_)"/>
    <numFmt numFmtId="166" formatCode="mmmm\ d\,\ yyyy"/>
    <numFmt numFmtId="167" formatCode="0.0%"/>
    <numFmt numFmtId="168" formatCode="0.0000"/>
    <numFmt numFmtId="169" formatCode="0.0"/>
    <numFmt numFmtId="170" formatCode="_(* #,##0.0_);_(* \(#,##0.0\);_(* &quot;-&quot;??_);_(@_)"/>
    <numFmt numFmtId="171" formatCode="_(* #,##0_);_(* \(#,##0\);_(* &quot;-&quot;??_);_(@_)"/>
    <numFmt numFmtId="172" formatCode="&quot;$&quot;#,##0.0_);[Red]\(&quot;$&quot;#,##0.0\)"/>
    <numFmt numFmtId="173" formatCode="0.0\x"/>
    <numFmt numFmtId="174" formatCode="&quot;$&quot;#,##0"/>
    <numFmt numFmtId="175" formatCode="&quot;$&quot;#,##0.0_);\(&quot;$&quot;#,##0.0\)"/>
    <numFmt numFmtId="176" formatCode="#,##0.0_);\(#,##0.0\)"/>
    <numFmt numFmtId="177" formatCode="0_);\(0\)"/>
    <numFmt numFmtId="178" formatCode="0.0_);\(0.0\)"/>
    <numFmt numFmtId="179" formatCode="#,##0.0"/>
    <numFmt numFmtId="184" formatCode="0\x"/>
    <numFmt numFmtId="188" formatCode="&quot;$&quot;#,##0.0000_);\(&quot;$&quot;#,##0.0000\)"/>
    <numFmt numFmtId="191" formatCode="&quot;$&quot;#,##0.0"/>
    <numFmt numFmtId="197" formatCode="mm/dd/yy"/>
  </numFmts>
  <fonts count="69" x14ac:knownFonts="1">
    <font>
      <sz val="10"/>
      <name val="Arial"/>
    </font>
    <font>
      <sz val="10"/>
      <name val="Arial"/>
    </font>
    <font>
      <sz val="10"/>
      <name val="Times New Roman"/>
      <family val="1"/>
    </font>
    <font>
      <b/>
      <sz val="10"/>
      <name val="Times New Roman"/>
      <family val="1"/>
    </font>
    <font>
      <b/>
      <i/>
      <sz val="10"/>
      <name val="Times New Roman"/>
      <family val="1"/>
    </font>
    <font>
      <u val="singleAccounting"/>
      <sz val="10"/>
      <name val="Times New Roman"/>
      <family val="1"/>
    </font>
    <font>
      <u val="double"/>
      <sz val="10"/>
      <name val="Times New Roman"/>
      <family val="1"/>
    </font>
    <font>
      <b/>
      <sz val="12"/>
      <name val="Times New Roman"/>
      <family val="1"/>
    </font>
    <font>
      <u/>
      <sz val="10"/>
      <name val="Times New Roman"/>
      <family val="1"/>
    </font>
    <font>
      <b/>
      <u val="double"/>
      <sz val="10"/>
      <name val="Times New Roman"/>
      <family val="1"/>
    </font>
    <font>
      <b/>
      <u/>
      <sz val="10"/>
      <name val="Times New Roman"/>
      <family val="1"/>
    </font>
    <font>
      <sz val="8"/>
      <color indexed="81"/>
      <name val="Tahoma"/>
    </font>
    <font>
      <b/>
      <sz val="8"/>
      <color indexed="81"/>
      <name val="Tahoma"/>
    </font>
    <font>
      <sz val="10"/>
      <name val="Arial"/>
      <family val="2"/>
    </font>
    <font>
      <u val="double"/>
      <sz val="10"/>
      <name val="Arial"/>
      <family val="2"/>
    </font>
    <font>
      <u/>
      <sz val="10"/>
      <name val="Arial"/>
      <family val="2"/>
    </font>
    <font>
      <u val="singleAccounting"/>
      <sz val="10"/>
      <name val="Arial"/>
      <family val="2"/>
    </font>
    <font>
      <b/>
      <u val="double"/>
      <sz val="10"/>
      <name val="Arial"/>
      <family val="2"/>
    </font>
    <font>
      <b/>
      <sz val="10"/>
      <name val="Arial"/>
      <family val="2"/>
    </font>
    <font>
      <b/>
      <u/>
      <sz val="12"/>
      <name val="Arial"/>
      <family val="2"/>
    </font>
    <font>
      <b/>
      <sz val="10"/>
      <color indexed="10"/>
      <name val="Arial"/>
      <family val="2"/>
    </font>
    <font>
      <i/>
      <sz val="10"/>
      <name val="Arial"/>
      <family val="2"/>
    </font>
    <font>
      <b/>
      <sz val="14"/>
      <name val="Arial"/>
      <family val="2"/>
    </font>
    <font>
      <b/>
      <sz val="12"/>
      <name val="Arial"/>
      <family val="2"/>
    </font>
    <font>
      <sz val="10"/>
      <color indexed="9"/>
      <name val="Arial"/>
      <family val="2"/>
    </font>
    <font>
      <b/>
      <sz val="18"/>
      <name val="Arial"/>
      <family val="2"/>
    </font>
    <font>
      <b/>
      <sz val="22"/>
      <name val="Arial"/>
      <family val="2"/>
    </font>
    <font>
      <sz val="8"/>
      <color indexed="81"/>
      <name val="Tahoma"/>
      <family val="2"/>
    </font>
    <font>
      <b/>
      <i/>
      <sz val="10"/>
      <name val="Arial"/>
      <family val="2"/>
    </font>
    <font>
      <b/>
      <u val="singleAccounting"/>
      <sz val="10"/>
      <name val="Arial"/>
      <family val="2"/>
    </font>
    <font>
      <b/>
      <u/>
      <sz val="10"/>
      <name val="Arial"/>
      <family val="2"/>
    </font>
    <font>
      <b/>
      <sz val="17"/>
      <name val="Arial"/>
      <family val="2"/>
    </font>
    <font>
      <sz val="8"/>
      <name val="Arial"/>
      <family val="2"/>
    </font>
    <font>
      <sz val="14"/>
      <name val="Arial"/>
      <family val="2"/>
    </font>
    <font>
      <b/>
      <sz val="12"/>
      <color indexed="9"/>
      <name val="Times New Roman"/>
      <family val="1"/>
    </font>
    <font>
      <sz val="16"/>
      <name val="Arial"/>
      <family val="2"/>
    </font>
    <font>
      <sz val="12"/>
      <name val="Arial"/>
      <family val="2"/>
    </font>
    <font>
      <b/>
      <u/>
      <sz val="14"/>
      <name val="Arial"/>
      <family val="2"/>
    </font>
    <font>
      <sz val="11"/>
      <name val="Arial"/>
      <family val="2"/>
    </font>
    <font>
      <sz val="10"/>
      <name val="Arial"/>
    </font>
    <font>
      <b/>
      <sz val="20"/>
      <name val="Arial"/>
      <family val="2"/>
    </font>
    <font>
      <b/>
      <sz val="20"/>
      <name val="Arial"/>
    </font>
    <font>
      <b/>
      <sz val="20"/>
      <name val="Times New Roman"/>
      <family val="1"/>
    </font>
    <font>
      <sz val="18"/>
      <name val="Arial"/>
      <family val="2"/>
    </font>
    <font>
      <b/>
      <sz val="16"/>
      <name val="Arial"/>
      <family val="2"/>
    </font>
    <font>
      <b/>
      <sz val="11"/>
      <name val="Arial"/>
      <family val="2"/>
    </font>
    <font>
      <u/>
      <sz val="11"/>
      <name val="Arial"/>
      <family val="2"/>
    </font>
    <font>
      <u/>
      <sz val="14"/>
      <name val="Arial"/>
      <family val="2"/>
    </font>
    <font>
      <u val="double"/>
      <sz val="14"/>
      <name val="Arial"/>
      <family val="2"/>
    </font>
    <font>
      <u val="double"/>
      <sz val="11"/>
      <name val="Arial"/>
      <family val="2"/>
    </font>
    <font>
      <b/>
      <sz val="24"/>
      <name val="Arial"/>
      <family val="2"/>
    </font>
    <font>
      <u val="singleAccounting"/>
      <sz val="14"/>
      <name val="Arial"/>
      <family val="2"/>
    </font>
    <font>
      <sz val="10"/>
      <color indexed="9"/>
      <name val="Times New Roman"/>
      <family val="1"/>
    </font>
    <font>
      <u val="singleAccounting"/>
      <sz val="16"/>
      <name val="Arial"/>
      <family val="2"/>
    </font>
    <font>
      <u val="double"/>
      <sz val="16"/>
      <name val="Arial"/>
      <family val="2"/>
    </font>
    <font>
      <b/>
      <u/>
      <sz val="16"/>
      <name val="Arial"/>
      <family val="2"/>
    </font>
    <font>
      <vertAlign val="superscript"/>
      <sz val="10"/>
      <name val="Arial"/>
      <family val="2"/>
    </font>
    <font>
      <i/>
      <sz val="8"/>
      <name val="Arial"/>
      <family val="2"/>
    </font>
    <font>
      <i/>
      <vertAlign val="superscript"/>
      <sz val="8"/>
      <name val="Arial"/>
      <family val="2"/>
    </font>
    <font>
      <vertAlign val="superscript"/>
      <sz val="8.5"/>
      <name val="Arial"/>
      <family val="2"/>
    </font>
    <font>
      <sz val="8"/>
      <name val="Times New Roman"/>
      <family val="1"/>
    </font>
    <font>
      <sz val="9"/>
      <name val="Times New Roman"/>
      <family val="1"/>
    </font>
    <font>
      <u/>
      <sz val="10"/>
      <color indexed="9"/>
      <name val="Arial"/>
      <family val="2"/>
    </font>
    <font>
      <u val="double"/>
      <sz val="10"/>
      <color indexed="9"/>
      <name val="Arial"/>
      <family val="2"/>
    </font>
    <font>
      <i/>
      <sz val="14"/>
      <name val="Arial"/>
      <family val="2"/>
    </font>
    <font>
      <sz val="15"/>
      <name val="Arial"/>
      <family val="2"/>
    </font>
    <font>
      <i/>
      <sz val="11"/>
      <name val="Arial"/>
      <family val="2"/>
    </font>
    <font>
      <sz val="10"/>
      <color indexed="10"/>
      <name val="Arial"/>
      <family val="2"/>
    </font>
    <font>
      <vertAlign val="superscript"/>
      <sz val="8.4"/>
      <name val="Arial"/>
      <family val="2"/>
    </font>
  </fonts>
  <fills count="7">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indexed="13"/>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hair">
        <color indexed="64"/>
      </left>
      <right/>
      <top style="thin">
        <color indexed="64"/>
      </top>
      <bottom style="thin">
        <color indexed="64"/>
      </bottom>
      <diagonal/>
    </border>
    <border>
      <left/>
      <right/>
      <top/>
      <bottom style="thick">
        <color indexed="64"/>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38">
    <xf numFmtId="0" fontId="0" fillId="0" borderId="0" xfId="0"/>
    <xf numFmtId="0" fontId="2" fillId="0" borderId="0" xfId="0" applyFont="1"/>
    <xf numFmtId="0" fontId="3" fillId="0" borderId="0" xfId="0" applyFont="1"/>
    <xf numFmtId="0" fontId="4" fillId="0" borderId="0" xfId="0" applyFont="1" applyAlignment="1">
      <alignment horizontal="center"/>
    </xf>
    <xf numFmtId="165" fontId="2" fillId="0" borderId="0" xfId="2" applyNumberFormat="1" applyFont="1"/>
    <xf numFmtId="165" fontId="5" fillId="0" borderId="0" xfId="2" applyNumberFormat="1" applyFont="1"/>
    <xf numFmtId="165" fontId="6" fillId="0" borderId="0" xfId="2" applyNumberFormat="1" applyFont="1"/>
    <xf numFmtId="0" fontId="7" fillId="0" borderId="0" xfId="0" applyFont="1"/>
    <xf numFmtId="0" fontId="3" fillId="0" borderId="0" xfId="0" applyFont="1" applyAlignment="1">
      <alignment horizontal="left"/>
    </xf>
    <xf numFmtId="0" fontId="2" fillId="0" borderId="1" xfId="0" applyNumberFormat="1" applyFont="1" applyBorder="1" applyAlignment="1">
      <alignment horizontal="center"/>
    </xf>
    <xf numFmtId="0" fontId="2" fillId="0" borderId="2" xfId="0" applyNumberFormat="1" applyFont="1" applyBorder="1" applyAlignment="1">
      <alignment horizontal="center"/>
    </xf>
    <xf numFmtId="0" fontId="2" fillId="0" borderId="3" xfId="0" applyNumberFormat="1" applyFont="1" applyBorder="1" applyAlignment="1">
      <alignment horizontal="center"/>
    </xf>
    <xf numFmtId="9" fontId="2" fillId="0" borderId="0" xfId="3" applyFont="1"/>
    <xf numFmtId="167" fontId="2" fillId="0" borderId="0" xfId="3" applyNumberFormat="1" applyFont="1"/>
    <xf numFmtId="165" fontId="8" fillId="0" borderId="0" xfId="2" applyNumberFormat="1" applyFont="1"/>
    <xf numFmtId="10" fontId="2" fillId="0" borderId="0" xfId="3" applyNumberFormat="1" applyFont="1" applyAlignment="1">
      <alignment horizontal="right"/>
    </xf>
    <xf numFmtId="165" fontId="2" fillId="0" borderId="0" xfId="2" applyNumberFormat="1" applyFont="1" applyAlignment="1">
      <alignment horizontal="right"/>
    </xf>
    <xf numFmtId="169" fontId="2" fillId="0" borderId="0" xfId="2" applyNumberFormat="1" applyFont="1" applyAlignment="1">
      <alignment horizontal="right"/>
    </xf>
    <xf numFmtId="165" fontId="2" fillId="0" borderId="0" xfId="0" applyNumberFormat="1" applyFont="1"/>
    <xf numFmtId="165" fontId="5" fillId="0" borderId="0" xfId="0" applyNumberFormat="1" applyFont="1"/>
    <xf numFmtId="165" fontId="3" fillId="0" borderId="0" xfId="0" applyNumberFormat="1" applyFont="1"/>
    <xf numFmtId="165" fontId="2" fillId="0" borderId="0" xfId="3" applyNumberFormat="1" applyFont="1" applyBorder="1"/>
    <xf numFmtId="165" fontId="9" fillId="0" borderId="0" xfId="0" applyNumberFormat="1" applyFont="1"/>
    <xf numFmtId="165" fontId="2" fillId="0" borderId="0" xfId="2" applyNumberFormat="1" applyFont="1" applyBorder="1"/>
    <xf numFmtId="165" fontId="3" fillId="0" borderId="0" xfId="2" applyNumberFormat="1" applyFont="1"/>
    <xf numFmtId="0" fontId="2" fillId="0" borderId="0" xfId="0" applyFont="1" applyBorder="1"/>
    <xf numFmtId="0" fontId="10" fillId="0" borderId="0" xfId="0" applyFont="1"/>
    <xf numFmtId="0" fontId="2" fillId="0" borderId="1" xfId="0" applyFont="1" applyBorder="1" applyAlignment="1">
      <alignment horizontal="center"/>
    </xf>
    <xf numFmtId="0" fontId="2" fillId="0" borderId="3" xfId="0" applyFont="1" applyBorder="1" applyAlignment="1">
      <alignment horizontal="center"/>
    </xf>
    <xf numFmtId="9" fontId="2" fillId="0" borderId="1" xfId="3" applyFont="1" applyBorder="1" applyAlignment="1">
      <alignment horizontal="center"/>
    </xf>
    <xf numFmtId="9" fontId="2" fillId="0" borderId="3" xfId="3" applyFont="1" applyBorder="1" applyAlignment="1">
      <alignment horizontal="center"/>
    </xf>
    <xf numFmtId="0" fontId="2" fillId="2" borderId="0" xfId="0" applyFont="1" applyFill="1"/>
    <xf numFmtId="165" fontId="2" fillId="2" borderId="0" xfId="2" applyNumberFormat="1" applyFont="1" applyFill="1"/>
    <xf numFmtId="9" fontId="2" fillId="0" borderId="0" xfId="3" applyFont="1" applyBorder="1" applyAlignment="1">
      <alignment horizontal="center"/>
    </xf>
    <xf numFmtId="0" fontId="2" fillId="0" borderId="0" xfId="0" applyFont="1" applyFill="1"/>
    <xf numFmtId="165" fontId="2" fillId="0" borderId="0" xfId="2" applyNumberFormat="1" applyFont="1" applyFill="1"/>
    <xf numFmtId="0" fontId="2" fillId="3" borderId="0" xfId="0" applyFont="1" applyFill="1"/>
    <xf numFmtId="165" fontId="2" fillId="3" borderId="0" xfId="2" applyNumberFormat="1" applyFont="1" applyFill="1"/>
    <xf numFmtId="10" fontId="2" fillId="3" borderId="1" xfId="3" applyNumberFormat="1" applyFont="1" applyFill="1" applyBorder="1"/>
    <xf numFmtId="10" fontId="2" fillId="3" borderId="2" xfId="3" applyNumberFormat="1" applyFont="1" applyFill="1" applyBorder="1"/>
    <xf numFmtId="10" fontId="2" fillId="3" borderId="0" xfId="3" applyNumberFormat="1" applyFont="1" applyFill="1" applyBorder="1"/>
    <xf numFmtId="165" fontId="2" fillId="3" borderId="0" xfId="2" applyNumberFormat="1" applyFont="1" applyFill="1" applyBorder="1"/>
    <xf numFmtId="165" fontId="5" fillId="3" borderId="0" xfId="2" applyNumberFormat="1" applyFont="1" applyFill="1" applyBorder="1"/>
    <xf numFmtId="167" fontId="2" fillId="3" borderId="0" xfId="3" applyNumberFormat="1" applyFont="1" applyFill="1" applyBorder="1"/>
    <xf numFmtId="167" fontId="8" fillId="3" borderId="0" xfId="3" applyNumberFormat="1" applyFont="1" applyFill="1" applyBorder="1"/>
    <xf numFmtId="171" fontId="5" fillId="3" borderId="0" xfId="2" applyNumberFormat="1" applyFont="1" applyFill="1" applyBorder="1"/>
    <xf numFmtId="170" fontId="2" fillId="0" borderId="0" xfId="1" applyNumberFormat="1" applyFont="1" applyAlignment="1">
      <alignment horizontal="right"/>
    </xf>
    <xf numFmtId="165" fontId="2" fillId="0" borderId="0" xfId="2" applyNumberFormat="1" applyFont="1" applyFill="1" applyBorder="1"/>
    <xf numFmtId="0" fontId="2" fillId="0" borderId="0" xfId="0" applyNumberFormat="1" applyFont="1" applyBorder="1" applyAlignment="1">
      <alignment horizontal="center"/>
    </xf>
    <xf numFmtId="0" fontId="2" fillId="0" borderId="0" xfId="2" applyNumberFormat="1" applyFont="1" applyBorder="1" applyAlignment="1">
      <alignment horizontal="center"/>
    </xf>
    <xf numFmtId="0" fontId="2" fillId="0" borderId="2" xfId="0" applyFont="1" applyBorder="1" applyAlignment="1">
      <alignment horizontal="center"/>
    </xf>
    <xf numFmtId="165" fontId="6" fillId="0" borderId="0" xfId="0" applyNumberFormat="1" applyFont="1"/>
    <xf numFmtId="0" fontId="2" fillId="0" borderId="0" xfId="0" applyFont="1" applyAlignment="1">
      <alignment horizontal="centerContinuous" wrapText="1"/>
    </xf>
    <xf numFmtId="0" fontId="2" fillId="4" borderId="0" xfId="0" applyFont="1" applyFill="1"/>
    <xf numFmtId="165" fontId="2" fillId="0" borderId="0" xfId="0" applyNumberFormat="1" applyFont="1" applyBorder="1"/>
    <xf numFmtId="165" fontId="6" fillId="0" borderId="0" xfId="0" applyNumberFormat="1" applyFont="1" applyBorder="1"/>
    <xf numFmtId="0" fontId="2" fillId="0" borderId="0" xfId="0" applyFont="1" applyFill="1" applyBorder="1"/>
    <xf numFmtId="0" fontId="2" fillId="0" borderId="4" xfId="0" applyFont="1" applyBorder="1"/>
    <xf numFmtId="165" fontId="2" fillId="0" borderId="4" xfId="0" applyNumberFormat="1" applyFont="1" applyBorder="1"/>
    <xf numFmtId="165" fontId="2" fillId="0" borderId="4" xfId="2" applyNumberFormat="1" applyFont="1" applyBorder="1"/>
    <xf numFmtId="10" fontId="2" fillId="3" borderId="4" xfId="3" applyNumberFormat="1" applyFont="1" applyFill="1" applyBorder="1"/>
    <xf numFmtId="165" fontId="2" fillId="3" borderId="4" xfId="2" applyNumberFormat="1" applyFont="1" applyFill="1" applyBorder="1"/>
    <xf numFmtId="165" fontId="5" fillId="3" borderId="4" xfId="2" applyNumberFormat="1" applyFont="1" applyFill="1" applyBorder="1"/>
    <xf numFmtId="0" fontId="2" fillId="0" borderId="4" xfId="0" applyFont="1" applyFill="1" applyBorder="1"/>
    <xf numFmtId="165" fontId="5" fillId="0" borderId="4" xfId="2" applyNumberFormat="1" applyFont="1" applyBorder="1"/>
    <xf numFmtId="165" fontId="0" fillId="0" borderId="0" xfId="2" applyNumberFormat="1" applyFont="1"/>
    <xf numFmtId="165" fontId="0" fillId="0" borderId="0" xfId="0" applyNumberFormat="1"/>
    <xf numFmtId="0" fontId="0" fillId="0" borderId="0" xfId="0" applyAlignment="1">
      <alignment horizontal="centerContinuous"/>
    </xf>
    <xf numFmtId="0" fontId="0" fillId="0" borderId="1" xfId="0" applyBorder="1"/>
    <xf numFmtId="0" fontId="0" fillId="0" borderId="2" xfId="0" applyBorder="1"/>
    <xf numFmtId="0" fontId="0" fillId="0" borderId="3" xfId="0" applyBorder="1"/>
    <xf numFmtId="0" fontId="14" fillId="0" borderId="0" xfId="0" applyFont="1"/>
    <xf numFmtId="165" fontId="14" fillId="0" borderId="0" xfId="2" applyNumberFormat="1" applyFont="1"/>
    <xf numFmtId="0" fontId="15" fillId="0" borderId="0" xfId="0" applyFont="1"/>
    <xf numFmtId="165" fontId="15" fillId="0" borderId="0" xfId="2" applyNumberFormat="1" applyFont="1"/>
    <xf numFmtId="171" fontId="14" fillId="0" borderId="0" xfId="1" applyNumberFormat="1" applyFont="1"/>
    <xf numFmtId="171" fontId="0" fillId="0" borderId="0" xfId="1" applyNumberFormat="1" applyFont="1"/>
    <xf numFmtId="171" fontId="15" fillId="0" borderId="0" xfId="1" applyNumberFormat="1" applyFont="1" applyAlignment="1">
      <alignment horizontal="center"/>
    </xf>
    <xf numFmtId="165" fontId="16" fillId="0" borderId="0" xfId="2" applyNumberFormat="1" applyFont="1"/>
    <xf numFmtId="171" fontId="15" fillId="0" borderId="0" xfId="1" applyNumberFormat="1" applyFont="1"/>
    <xf numFmtId="0" fontId="18" fillId="0" borderId="0" xfId="0" applyFont="1"/>
    <xf numFmtId="171" fontId="0" fillId="0" borderId="0" xfId="1" applyNumberFormat="1" applyFont="1" applyAlignment="1"/>
    <xf numFmtId="0" fontId="18" fillId="0" borderId="1" xfId="0" applyFont="1" applyBorder="1"/>
    <xf numFmtId="171" fontId="17" fillId="0" borderId="2" xfId="1" applyNumberFormat="1" applyFont="1" applyBorder="1"/>
    <xf numFmtId="171" fontId="17" fillId="0" borderId="3" xfId="1" applyNumberFormat="1" applyFont="1" applyBorder="1"/>
    <xf numFmtId="0" fontId="0" fillId="0" borderId="0" xfId="0" applyAlignment="1">
      <alignment horizontal="centerContinuous" vertical="center"/>
    </xf>
    <xf numFmtId="0" fontId="19" fillId="0" borderId="0" xfId="0" applyFont="1" applyAlignment="1">
      <alignment horizontal="centerContinuous" vertical="center"/>
    </xf>
    <xf numFmtId="171" fontId="16" fillId="0" borderId="0" xfId="1" applyNumberFormat="1" applyFont="1"/>
    <xf numFmtId="165" fontId="0" fillId="0" borderId="0" xfId="2" applyNumberFormat="1" applyFont="1" applyAlignment="1">
      <alignment horizontal="center"/>
    </xf>
    <xf numFmtId="165" fontId="13" fillId="0" borderId="0" xfId="2" applyNumberFormat="1" applyFont="1"/>
    <xf numFmtId="165" fontId="16" fillId="0" borderId="0" xfId="2" applyNumberFormat="1" applyFont="1" applyAlignment="1">
      <alignment horizontal="center"/>
    </xf>
    <xf numFmtId="165" fontId="0" fillId="0" borderId="0" xfId="2" applyNumberFormat="1" applyFont="1" applyAlignment="1"/>
    <xf numFmtId="165" fontId="17" fillId="0" borderId="2" xfId="2" applyNumberFormat="1" applyFont="1" applyBorder="1"/>
    <xf numFmtId="165" fontId="13" fillId="0" borderId="0" xfId="2" applyNumberFormat="1" applyFont="1" applyAlignment="1"/>
    <xf numFmtId="10" fontId="0" fillId="0" borderId="0" xfId="2" applyNumberFormat="1" applyFont="1"/>
    <xf numFmtId="10" fontId="0" fillId="0" borderId="0" xfId="2" applyNumberFormat="1" applyFont="1" applyAlignment="1">
      <alignment horizontal="center"/>
    </xf>
    <xf numFmtId="10" fontId="0" fillId="0" borderId="0" xfId="0" applyNumberFormat="1"/>
    <xf numFmtId="10" fontId="18" fillId="0" borderId="0" xfId="0" applyNumberFormat="1" applyFont="1"/>
    <xf numFmtId="10" fontId="0" fillId="0" borderId="0" xfId="1" applyNumberFormat="1" applyFont="1"/>
    <xf numFmtId="10" fontId="16" fillId="0" borderId="0" xfId="2" applyNumberFormat="1" applyFont="1"/>
    <xf numFmtId="10" fontId="15" fillId="0" borderId="0" xfId="2" applyNumberFormat="1" applyFont="1"/>
    <xf numFmtId="10" fontId="0" fillId="0" borderId="0" xfId="2" applyNumberFormat="1" applyFont="1" applyAlignment="1"/>
    <xf numFmtId="10" fontId="13" fillId="0" borderId="0" xfId="2" applyNumberFormat="1" applyFont="1"/>
    <xf numFmtId="10" fontId="16" fillId="0" borderId="0" xfId="2" applyNumberFormat="1" applyFont="1" applyAlignment="1">
      <alignment horizontal="center"/>
    </xf>
    <xf numFmtId="10" fontId="18" fillId="0" borderId="1" xfId="0" applyNumberFormat="1" applyFont="1" applyBorder="1"/>
    <xf numFmtId="10" fontId="0" fillId="0" borderId="2" xfId="0" applyNumberFormat="1" applyBorder="1"/>
    <xf numFmtId="10" fontId="17" fillId="0" borderId="2" xfId="2" applyNumberFormat="1" applyFont="1" applyBorder="1"/>
    <xf numFmtId="10" fontId="15" fillId="0" borderId="0" xfId="2" applyNumberFormat="1" applyFont="1" applyAlignment="1">
      <alignment horizontal="center"/>
    </xf>
    <xf numFmtId="10" fontId="0" fillId="0" borderId="3" xfId="2" applyNumberFormat="1" applyFont="1" applyBorder="1" applyAlignment="1">
      <alignment horizontal="center"/>
    </xf>
    <xf numFmtId="43" fontId="2" fillId="0" borderId="0" xfId="0" applyNumberFormat="1" applyFont="1"/>
    <xf numFmtId="0" fontId="0" fillId="0" borderId="0" xfId="0" applyBorder="1"/>
    <xf numFmtId="171" fontId="0" fillId="5" borderId="0" xfId="1" applyNumberFormat="1" applyFont="1" applyFill="1"/>
    <xf numFmtId="171" fontId="15" fillId="5" borderId="0" xfId="1" applyNumberFormat="1" applyFont="1" applyFill="1" applyAlignment="1">
      <alignment horizontal="center"/>
    </xf>
    <xf numFmtId="0" fontId="0" fillId="5" borderId="0" xfId="0" applyFill="1"/>
    <xf numFmtId="171" fontId="14" fillId="5" borderId="0" xfId="1" applyNumberFormat="1" applyFont="1" applyFill="1"/>
    <xf numFmtId="0" fontId="0" fillId="0" borderId="0" xfId="0" applyFill="1"/>
    <xf numFmtId="171" fontId="0" fillId="0" borderId="0" xfId="1" applyNumberFormat="1" applyFont="1" applyFill="1" applyAlignment="1">
      <alignment horizontal="center"/>
    </xf>
    <xf numFmtId="171" fontId="0" fillId="0" borderId="0" xfId="1" applyNumberFormat="1" applyFont="1" applyFill="1"/>
    <xf numFmtId="171" fontId="15" fillId="0" borderId="0" xfId="1" applyNumberFormat="1" applyFont="1" applyFill="1" applyAlignment="1">
      <alignment horizontal="center"/>
    </xf>
    <xf numFmtId="171" fontId="14" fillId="0" borderId="0" xfId="1" applyNumberFormat="1" applyFont="1" applyFill="1"/>
    <xf numFmtId="0" fontId="0" fillId="5" borderId="3" xfId="0" applyFill="1" applyBorder="1"/>
    <xf numFmtId="0" fontId="0" fillId="0" borderId="2" xfId="0" applyFill="1" applyBorder="1"/>
    <xf numFmtId="165" fontId="0" fillId="0" borderId="0" xfId="2" applyNumberFormat="1" applyFont="1" applyFill="1" applyAlignment="1">
      <alignment horizontal="center"/>
    </xf>
    <xf numFmtId="165" fontId="0" fillId="0" borderId="0" xfId="2" applyNumberFormat="1" applyFont="1" applyFill="1"/>
    <xf numFmtId="165" fontId="15" fillId="0" borderId="0" xfId="2" applyNumberFormat="1" applyFont="1" applyFill="1"/>
    <xf numFmtId="165" fontId="14" fillId="0" borderId="0" xfId="2" applyNumberFormat="1" applyFont="1" applyFill="1"/>
    <xf numFmtId="165" fontId="16" fillId="0" borderId="0" xfId="2" applyNumberFormat="1" applyFont="1" applyFill="1"/>
    <xf numFmtId="165" fontId="0" fillId="0" borderId="0" xfId="0" applyNumberFormat="1" applyFill="1"/>
    <xf numFmtId="0" fontId="0" fillId="0" borderId="1" xfId="0" applyBorder="1" applyAlignment="1">
      <alignment horizontal="center"/>
    </xf>
    <xf numFmtId="0" fontId="0" fillId="0" borderId="2" xfId="0" applyBorder="1" applyAlignment="1">
      <alignment horizontal="center"/>
    </xf>
    <xf numFmtId="165" fontId="2" fillId="2" borderId="0" xfId="0" quotePrefix="1" applyNumberFormat="1" applyFont="1" applyFill="1"/>
    <xf numFmtId="165" fontId="13" fillId="0" borderId="0" xfId="0" applyNumberFormat="1" applyFont="1"/>
    <xf numFmtId="9" fontId="0" fillId="0" borderId="5" xfId="3" applyFont="1" applyBorder="1" applyAlignment="1">
      <alignment horizontal="center"/>
    </xf>
    <xf numFmtId="167" fontId="0" fillId="0" borderId="0" xfId="3" applyNumberFormat="1" applyFont="1"/>
    <xf numFmtId="0" fontId="0" fillId="0" borderId="6" xfId="0" applyBorder="1"/>
    <xf numFmtId="165" fontId="16" fillId="0" borderId="0" xfId="2" applyNumberFormat="1" applyFont="1" applyFill="1" applyAlignment="1">
      <alignment horizontal="center"/>
    </xf>
    <xf numFmtId="43" fontId="2" fillId="0" borderId="0" xfId="1" applyFont="1"/>
    <xf numFmtId="43" fontId="0" fillId="0" borderId="0" xfId="0" applyNumberFormat="1"/>
    <xf numFmtId="9" fontId="0" fillId="0" borderId="0" xfId="3" applyFont="1"/>
    <xf numFmtId="0" fontId="0" fillId="0" borderId="7" xfId="0" applyBorder="1"/>
    <xf numFmtId="0" fontId="0" fillId="0" borderId="8" xfId="0" applyBorder="1" applyAlignment="1">
      <alignment horizontal="center"/>
    </xf>
    <xf numFmtId="0" fontId="0" fillId="0" borderId="9" xfId="0" applyBorder="1"/>
    <xf numFmtId="0" fontId="0" fillId="0" borderId="8" xfId="0" applyBorder="1"/>
    <xf numFmtId="0" fontId="0" fillId="0" borderId="10" xfId="0"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0" xfId="0" applyBorder="1"/>
    <xf numFmtId="0" fontId="0" fillId="0" borderId="11" xfId="0" applyBorder="1"/>
    <xf numFmtId="0" fontId="0" fillId="0" borderId="0" xfId="0" applyAlignment="1">
      <alignment horizontal="center"/>
    </xf>
    <xf numFmtId="43" fontId="1" fillId="0" borderId="0" xfId="1" applyAlignment="1">
      <alignment horizontal="center"/>
    </xf>
    <xf numFmtId="43" fontId="1" fillId="0" borderId="0" xfId="1"/>
    <xf numFmtId="43" fontId="1" fillId="0" borderId="0" xfId="1" applyFont="1"/>
    <xf numFmtId="0" fontId="0" fillId="0" borderId="0" xfId="0" applyAlignment="1">
      <alignment horizontal="right"/>
    </xf>
    <xf numFmtId="167" fontId="0" fillId="0" borderId="0" xfId="0" applyNumberFormat="1"/>
    <xf numFmtId="167" fontId="20" fillId="0" borderId="0" xfId="1" applyNumberFormat="1" applyFont="1"/>
    <xf numFmtId="43" fontId="2" fillId="0" borderId="0" xfId="2" applyNumberFormat="1" applyFont="1"/>
    <xf numFmtId="0" fontId="0" fillId="0" borderId="12" xfId="0" applyBorder="1"/>
    <xf numFmtId="165" fontId="0" fillId="0" borderId="0" xfId="2" applyNumberFormat="1" applyFont="1" applyBorder="1"/>
    <xf numFmtId="165" fontId="0" fillId="0" borderId="6" xfId="2" applyNumberFormat="1" applyFont="1" applyBorder="1"/>
    <xf numFmtId="165" fontId="2" fillId="4" borderId="0" xfId="2" applyNumberFormat="1" applyFont="1" applyFill="1"/>
    <xf numFmtId="165" fontId="2" fillId="0" borderId="0" xfId="0" applyNumberFormat="1" applyFont="1" applyFill="1"/>
    <xf numFmtId="171" fontId="0" fillId="0" borderId="0" xfId="0" applyNumberFormat="1"/>
    <xf numFmtId="9" fontId="2" fillId="0" borderId="0" xfId="0" applyNumberFormat="1" applyFont="1" applyBorder="1"/>
    <xf numFmtId="43" fontId="2" fillId="0" borderId="6" xfId="1" applyFont="1" applyBorder="1"/>
    <xf numFmtId="165" fontId="2" fillId="0" borderId="6" xfId="2" applyNumberFormat="1" applyFont="1" applyBorder="1"/>
    <xf numFmtId="171" fontId="0" fillId="0" borderId="0" xfId="2" applyNumberFormat="1" applyFont="1"/>
    <xf numFmtId="171" fontId="2" fillId="0" borderId="0" xfId="1" applyNumberFormat="1" applyFont="1"/>
    <xf numFmtId="171" fontId="1" fillId="0" borderId="0" xfId="1" applyNumberFormat="1" applyAlignment="1">
      <alignment horizontal="center"/>
    </xf>
    <xf numFmtId="171" fontId="1" fillId="0" borderId="0" xfId="1" applyNumberFormat="1"/>
    <xf numFmtId="0" fontId="21" fillId="0" borderId="0" xfId="0" applyFont="1"/>
    <xf numFmtId="0" fontId="22" fillId="0" borderId="0" xfId="0" applyFont="1"/>
    <xf numFmtId="0" fontId="23" fillId="0" borderId="6" xfId="0" applyFont="1" applyBorder="1"/>
    <xf numFmtId="9" fontId="0" fillId="0" borderId="0" xfId="0" applyNumberFormat="1" applyAlignment="1">
      <alignment horizontal="center"/>
    </xf>
    <xf numFmtId="9" fontId="0" fillId="0" borderId="6" xfId="0" applyNumberFormat="1" applyBorder="1" applyAlignment="1">
      <alignment horizontal="center"/>
    </xf>
    <xf numFmtId="0" fontId="24" fillId="0" borderId="0" xfId="0" applyFont="1"/>
    <xf numFmtId="167" fontId="0" fillId="0" borderId="6" xfId="3" applyNumberFormat="1" applyFont="1" applyBorder="1"/>
    <xf numFmtId="0" fontId="0" fillId="0" borderId="8" xfId="0" applyBorder="1" applyAlignment="1">
      <alignment horizontal="center" wrapText="1"/>
    </xf>
    <xf numFmtId="43" fontId="0" fillId="0" borderId="0" xfId="1" applyFont="1" applyBorder="1"/>
    <xf numFmtId="10" fontId="0" fillId="0" borderId="13" xfId="3" applyNumberFormat="1" applyFont="1" applyBorder="1"/>
    <xf numFmtId="43" fontId="1" fillId="0" borderId="0" xfId="1" applyFont="1" applyAlignment="1">
      <alignment horizontal="center" wrapText="1"/>
    </xf>
    <xf numFmtId="0" fontId="23" fillId="0" borderId="0" xfId="0" applyFont="1"/>
    <xf numFmtId="0" fontId="2" fillId="2" borderId="0" xfId="0" applyFont="1" applyFill="1" applyBorder="1"/>
    <xf numFmtId="165" fontId="2" fillId="2" borderId="0" xfId="2" applyNumberFormat="1" applyFont="1" applyFill="1" applyBorder="1"/>
    <xf numFmtId="167" fontId="0" fillId="0" borderId="0" xfId="3" applyNumberFormat="1" applyFont="1" applyAlignment="1">
      <alignment horizontal="right"/>
    </xf>
    <xf numFmtId="167" fontId="0" fillId="0" borderId="0" xfId="3" applyNumberFormat="1" applyFont="1" applyFill="1" applyAlignment="1">
      <alignment horizontal="right"/>
    </xf>
    <xf numFmtId="167" fontId="0" fillId="5" borderId="0" xfId="0" applyNumberFormat="1" applyFill="1" applyAlignment="1">
      <alignment horizontal="right"/>
    </xf>
    <xf numFmtId="167" fontId="15" fillId="0" borderId="0" xfId="3" applyNumberFormat="1" applyFont="1" applyAlignment="1">
      <alignment horizontal="right"/>
    </xf>
    <xf numFmtId="167" fontId="15" fillId="0" borderId="0" xfId="3" applyNumberFormat="1" applyFont="1" applyFill="1" applyAlignment="1">
      <alignment horizontal="right"/>
    </xf>
    <xf numFmtId="167" fontId="15" fillId="5" borderId="0" xfId="0" applyNumberFormat="1" applyFont="1" applyFill="1" applyAlignment="1">
      <alignment horizontal="right"/>
    </xf>
    <xf numFmtId="167" fontId="14" fillId="0" borderId="0" xfId="3" applyNumberFormat="1" applyFont="1" applyFill="1" applyAlignment="1">
      <alignment horizontal="right"/>
    </xf>
    <xf numFmtId="167" fontId="14" fillId="5" borderId="0" xfId="3" applyNumberFormat="1" applyFont="1" applyFill="1" applyAlignment="1">
      <alignment horizontal="right"/>
    </xf>
    <xf numFmtId="0" fontId="18" fillId="0" borderId="0" xfId="0" applyFont="1" applyAlignment="1">
      <alignment horizontal="centerContinuous" vertical="center"/>
    </xf>
    <xf numFmtId="0" fontId="18" fillId="0" borderId="0" xfId="0" applyFont="1" applyAlignment="1">
      <alignment horizontal="centerContinuous" vertical="center" wrapText="1"/>
    </xf>
    <xf numFmtId="0" fontId="18" fillId="0" borderId="0" xfId="0" applyFont="1" applyAlignment="1">
      <alignment horizontal="centerContinuous" wrapText="1"/>
    </xf>
    <xf numFmtId="0" fontId="18" fillId="0" borderId="0" xfId="0" applyFont="1" applyAlignment="1">
      <alignment horizontal="centerContinuous"/>
    </xf>
    <xf numFmtId="43" fontId="0" fillId="0" borderId="6" xfId="1" applyFont="1" applyBorder="1"/>
    <xf numFmtId="10" fontId="0" fillId="0" borderId="11" xfId="3" applyNumberFormat="1" applyFont="1" applyBorder="1"/>
    <xf numFmtId="22" fontId="0" fillId="0" borderId="0" xfId="0" applyNumberFormat="1"/>
    <xf numFmtId="0" fontId="25" fillId="0" borderId="0" xfId="0" applyFont="1" applyAlignment="1">
      <alignment horizontal="center"/>
    </xf>
    <xf numFmtId="0" fontId="26" fillId="0" borderId="0" xfId="0" applyFont="1" applyAlignment="1">
      <alignment horizontal="center"/>
    </xf>
    <xf numFmtId="0" fontId="10" fillId="0" borderId="0" xfId="0" applyFont="1" applyBorder="1"/>
    <xf numFmtId="43" fontId="1" fillId="0" borderId="0" xfId="1" applyFont="1" applyAlignment="1">
      <alignment horizontal="right"/>
    </xf>
    <xf numFmtId="0" fontId="0" fillId="2" borderId="14" xfId="0" applyFill="1" applyBorder="1"/>
    <xf numFmtId="171" fontId="1" fillId="2" borderId="14" xfId="1" applyNumberFormat="1" applyFill="1" applyBorder="1"/>
    <xf numFmtId="43" fontId="18" fillId="0" borderId="0" xfId="1" applyFont="1" applyAlignment="1">
      <alignment horizontal="center" wrapText="1"/>
    </xf>
    <xf numFmtId="171" fontId="18" fillId="0" borderId="0" xfId="1" applyNumberFormat="1" applyFont="1" applyAlignment="1">
      <alignment horizontal="center" wrapText="1"/>
    </xf>
    <xf numFmtId="165" fontId="13" fillId="2" borderId="1" xfId="2" applyNumberFormat="1" applyFont="1" applyFill="1" applyBorder="1"/>
    <xf numFmtId="165" fontId="13" fillId="2" borderId="2" xfId="2" applyNumberFormat="1" applyFont="1" applyFill="1" applyBorder="1"/>
    <xf numFmtId="165" fontId="13" fillId="2" borderId="3" xfId="2" applyNumberFormat="1" applyFont="1" applyFill="1" applyBorder="1"/>
    <xf numFmtId="0" fontId="15" fillId="0" borderId="0" xfId="0" applyFont="1" applyAlignment="1">
      <alignment horizontal="center"/>
    </xf>
    <xf numFmtId="0" fontId="0" fillId="4" borderId="0" xfId="0" applyFill="1"/>
    <xf numFmtId="165" fontId="0" fillId="0" borderId="6" xfId="0" applyNumberFormat="1" applyBorder="1"/>
    <xf numFmtId="6" fontId="0" fillId="0" borderId="0" xfId="0" applyNumberFormat="1"/>
    <xf numFmtId="0" fontId="0" fillId="0" borderId="13" xfId="0" applyBorder="1"/>
    <xf numFmtId="165" fontId="2" fillId="0" borderId="5" xfId="2" applyNumberFormat="1" applyFont="1" applyBorder="1"/>
    <xf numFmtId="0" fontId="2" fillId="2" borderId="5" xfId="0" applyFont="1" applyFill="1" applyBorder="1"/>
    <xf numFmtId="171" fontId="1" fillId="0" borderId="0" xfId="1" applyNumberFormat="1" applyFont="1"/>
    <xf numFmtId="170" fontId="0" fillId="0" borderId="0" xfId="1" applyNumberFormat="1" applyFont="1"/>
    <xf numFmtId="0" fontId="18" fillId="0" borderId="0" xfId="0" applyFont="1" applyBorder="1"/>
    <xf numFmtId="165" fontId="13" fillId="0" borderId="13" xfId="0" applyNumberFormat="1" applyFont="1" applyBorder="1"/>
    <xf numFmtId="0" fontId="28" fillId="0" borderId="0" xfId="0" applyFont="1"/>
    <xf numFmtId="173" fontId="1" fillId="0" borderId="0" xfId="1" applyNumberFormat="1"/>
    <xf numFmtId="14" fontId="0" fillId="0" borderId="5" xfId="3" applyNumberFormat="1" applyFont="1" applyBorder="1"/>
    <xf numFmtId="0" fontId="0" fillId="0" borderId="0" xfId="0" applyAlignment="1">
      <alignment horizontal="left"/>
    </xf>
    <xf numFmtId="165" fontId="24" fillId="0" borderId="0" xfId="2" applyNumberFormat="1" applyFont="1"/>
    <xf numFmtId="0" fontId="0" fillId="5" borderId="5" xfId="0" applyFill="1" applyBorder="1"/>
    <xf numFmtId="0" fontId="0" fillId="5" borderId="12" xfId="0" applyFill="1" applyBorder="1"/>
    <xf numFmtId="165" fontId="0" fillId="5" borderId="12" xfId="2" applyNumberFormat="1" applyFont="1" applyFill="1" applyBorder="1" applyAlignment="1">
      <alignment horizontal="center"/>
    </xf>
    <xf numFmtId="165" fontId="0" fillId="5" borderId="12" xfId="2" applyNumberFormat="1" applyFont="1" applyFill="1" applyBorder="1"/>
    <xf numFmtId="165" fontId="15" fillId="5" borderId="12" xfId="2" applyNumberFormat="1" applyFont="1" applyFill="1" applyBorder="1"/>
    <xf numFmtId="165" fontId="14" fillId="5" borderId="12" xfId="2" applyNumberFormat="1" applyFont="1" applyFill="1" applyBorder="1"/>
    <xf numFmtId="165" fontId="16" fillId="5" borderId="12" xfId="2" applyNumberFormat="1" applyFont="1" applyFill="1" applyBorder="1"/>
    <xf numFmtId="165" fontId="0" fillId="5" borderId="12" xfId="0" applyNumberFormat="1" applyFill="1" applyBorder="1"/>
    <xf numFmtId="0" fontId="18" fillId="0" borderId="7" xfId="0" applyFont="1" applyBorder="1"/>
    <xf numFmtId="0" fontId="18" fillId="0" borderId="12" xfId="0" applyFont="1" applyBorder="1"/>
    <xf numFmtId="9" fontId="0" fillId="0" borderId="0" xfId="0" applyNumberFormat="1" applyBorder="1"/>
    <xf numFmtId="165" fontId="18" fillId="0" borderId="13" xfId="0" applyNumberFormat="1" applyFont="1" applyBorder="1"/>
    <xf numFmtId="165" fontId="0" fillId="0" borderId="11" xfId="0" applyNumberFormat="1" applyBorder="1"/>
    <xf numFmtId="1" fontId="0" fillId="0" borderId="13" xfId="0" applyNumberFormat="1" applyBorder="1"/>
    <xf numFmtId="165" fontId="29" fillId="0" borderId="13" xfId="2" applyNumberFormat="1" applyFont="1" applyBorder="1"/>
    <xf numFmtId="0" fontId="18" fillId="0" borderId="10" xfId="0" applyFont="1" applyBorder="1"/>
    <xf numFmtId="0" fontId="18" fillId="0" borderId="6" xfId="0" applyFont="1" applyBorder="1"/>
    <xf numFmtId="165" fontId="18" fillId="0" borderId="11" xfId="0" applyNumberFormat="1" applyFont="1" applyBorder="1"/>
    <xf numFmtId="165" fontId="30" fillId="0" borderId="13" xfId="2" applyNumberFormat="1" applyFont="1" applyBorder="1"/>
    <xf numFmtId="165" fontId="18" fillId="0" borderId="11" xfId="2" applyNumberFormat="1" applyFont="1" applyBorder="1"/>
    <xf numFmtId="0" fontId="13" fillId="0" borderId="12" xfId="0" applyFont="1" applyBorder="1"/>
    <xf numFmtId="0" fontId="13" fillId="0" borderId="0" xfId="0" applyFont="1" applyBorder="1"/>
    <xf numFmtId="0" fontId="13" fillId="0" borderId="13" xfId="0" applyFont="1" applyBorder="1"/>
    <xf numFmtId="165" fontId="13" fillId="0" borderId="13" xfId="2" applyNumberFormat="1" applyFont="1" applyBorder="1"/>
    <xf numFmtId="9" fontId="13" fillId="0" borderId="0" xfId="0" applyNumberFormat="1" applyFont="1" applyBorder="1"/>
    <xf numFmtId="171" fontId="0" fillId="0" borderId="13" xfId="1" applyNumberFormat="1" applyFont="1" applyBorder="1"/>
    <xf numFmtId="171" fontId="13" fillId="0" borderId="13" xfId="1" applyNumberFormat="1" applyFont="1" applyBorder="1"/>
    <xf numFmtId="171" fontId="16" fillId="0" borderId="13" xfId="1" applyNumberFormat="1" applyFont="1" applyBorder="1"/>
    <xf numFmtId="171" fontId="0" fillId="0" borderId="0" xfId="1" applyNumberFormat="1" applyFont="1" applyBorder="1"/>
    <xf numFmtId="173" fontId="1" fillId="0" borderId="0" xfId="1" applyNumberFormat="1" applyBorder="1"/>
    <xf numFmtId="170" fontId="1" fillId="0" borderId="0" xfId="1" applyNumberFormat="1"/>
    <xf numFmtId="171" fontId="0" fillId="0" borderId="0" xfId="0" applyNumberFormat="1" applyBorder="1"/>
    <xf numFmtId="171" fontId="1" fillId="0" borderId="0" xfId="1" applyNumberFormat="1" applyFill="1"/>
    <xf numFmtId="171" fontId="1" fillId="0" borderId="0" xfId="1" applyNumberFormat="1" applyBorder="1"/>
    <xf numFmtId="0" fontId="21" fillId="0" borderId="0" xfId="0" applyFont="1" applyBorder="1"/>
    <xf numFmtId="167" fontId="21" fillId="0" borderId="0" xfId="3" applyNumberFormat="1" applyFont="1"/>
    <xf numFmtId="9" fontId="0" fillId="0" borderId="0" xfId="0" applyNumberFormat="1"/>
    <xf numFmtId="0" fontId="0" fillId="4" borderId="0" xfId="0" applyFill="1" applyBorder="1"/>
    <xf numFmtId="165" fontId="1" fillId="0" borderId="0" xfId="2" applyNumberFormat="1"/>
    <xf numFmtId="10" fontId="2" fillId="3" borderId="3" xfId="3" applyNumberFormat="1" applyFont="1" applyFill="1" applyBorder="1"/>
    <xf numFmtId="10" fontId="2" fillId="3" borderId="15" xfId="3" applyNumberFormat="1" applyFont="1" applyFill="1" applyBorder="1"/>
    <xf numFmtId="171" fontId="2" fillId="0" borderId="4" xfId="0" applyNumberFormat="1" applyFont="1" applyBorder="1"/>
    <xf numFmtId="0" fontId="31" fillId="4" borderId="0" xfId="0" applyFont="1" applyFill="1" applyBorder="1" applyAlignment="1">
      <alignment horizontal="centerContinuous"/>
    </xf>
    <xf numFmtId="0" fontId="0" fillId="4" borderId="0" xfId="0" applyFill="1" applyAlignment="1">
      <alignment horizontal="centerContinuous"/>
    </xf>
    <xf numFmtId="0" fontId="0" fillId="4" borderId="0" xfId="0" applyFill="1" applyBorder="1" applyAlignment="1">
      <alignment horizontal="centerContinuous"/>
    </xf>
    <xf numFmtId="0" fontId="23" fillId="4" borderId="0" xfId="0" applyFont="1" applyFill="1"/>
    <xf numFmtId="0" fontId="0" fillId="6" borderId="0" xfId="0" applyFill="1"/>
    <xf numFmtId="0" fontId="0" fillId="6" borderId="0" xfId="0" applyFill="1" applyBorder="1"/>
    <xf numFmtId="38" fontId="0" fillId="4" borderId="0" xfId="0" applyNumberFormat="1" applyFill="1"/>
    <xf numFmtId="171" fontId="1" fillId="4" borderId="0" xfId="1" applyNumberFormat="1" applyFill="1"/>
    <xf numFmtId="43" fontId="1" fillId="6" borderId="0" xfId="1" applyFill="1"/>
    <xf numFmtId="0" fontId="18" fillId="4" borderId="16" xfId="0" applyFont="1" applyFill="1" applyBorder="1" applyAlignment="1">
      <alignment horizontal="center"/>
    </xf>
    <xf numFmtId="38" fontId="18" fillId="4" borderId="16" xfId="0" applyNumberFormat="1" applyFont="1" applyFill="1" applyBorder="1" applyAlignment="1">
      <alignment horizontal="center"/>
    </xf>
    <xf numFmtId="171" fontId="18" fillId="4" borderId="16" xfId="1" applyNumberFormat="1" applyFont="1" applyFill="1" applyBorder="1" applyAlignment="1">
      <alignment horizontal="center"/>
    </xf>
    <xf numFmtId="0" fontId="18" fillId="4" borderId="0" xfId="0" applyFont="1" applyFill="1" applyBorder="1" applyAlignment="1">
      <alignment horizontal="center"/>
    </xf>
    <xf numFmtId="2" fontId="0" fillId="4" borderId="0" xfId="0" applyNumberFormat="1" applyFill="1" applyAlignment="1">
      <alignment horizontal="center"/>
    </xf>
    <xf numFmtId="4" fontId="0" fillId="4" borderId="0" xfId="0" applyNumberFormat="1" applyFill="1" applyBorder="1" applyAlignment="1">
      <alignment horizontal="center"/>
    </xf>
    <xf numFmtId="170" fontId="1" fillId="6" borderId="0" xfId="1" applyNumberFormat="1" applyFill="1"/>
    <xf numFmtId="40" fontId="1" fillId="4" borderId="0" xfId="1" applyNumberFormat="1" applyFill="1" applyAlignment="1">
      <alignment horizontal="right"/>
    </xf>
    <xf numFmtId="38" fontId="1" fillId="4" borderId="0" xfId="1" applyNumberFormat="1" applyFill="1" applyAlignment="1">
      <alignment horizontal="right"/>
    </xf>
    <xf numFmtId="170" fontId="1" fillId="0" borderId="0" xfId="1" applyNumberFormat="1" applyFont="1"/>
    <xf numFmtId="171" fontId="1" fillId="4" borderId="0" xfId="1" applyNumberFormat="1" applyFill="1" applyAlignment="1">
      <alignment horizontal="right"/>
    </xf>
    <xf numFmtId="4" fontId="0" fillId="4" borderId="8" xfId="0" applyNumberFormat="1" applyFill="1" applyBorder="1" applyAlignment="1">
      <alignment horizontal="center"/>
    </xf>
    <xf numFmtId="2" fontId="0" fillId="4" borderId="0" xfId="0" applyNumberFormat="1" applyFill="1" applyBorder="1" applyAlignment="1">
      <alignment horizontal="center"/>
    </xf>
    <xf numFmtId="170" fontId="1" fillId="0" borderId="6" xfId="1" applyNumberFormat="1" applyBorder="1"/>
    <xf numFmtId="0" fontId="21" fillId="0" borderId="0" xfId="0" applyFont="1" applyAlignment="1">
      <alignment horizontal="right"/>
    </xf>
    <xf numFmtId="165" fontId="1" fillId="0" borderId="0" xfId="2" applyNumberFormat="1" applyBorder="1"/>
    <xf numFmtId="165" fontId="13" fillId="0" borderId="0" xfId="0" applyNumberFormat="1" applyFont="1" applyBorder="1"/>
    <xf numFmtId="0" fontId="23" fillId="0" borderId="0" xfId="0" applyFont="1" applyAlignment="1">
      <alignment horizontal="centerContinuous" wrapText="1"/>
    </xf>
    <xf numFmtId="0" fontId="22" fillId="0" borderId="0" xfId="0" applyFont="1" applyAlignment="1">
      <alignment horizontal="centerContinuous" wrapText="1"/>
    </xf>
    <xf numFmtId="165" fontId="13" fillId="0" borderId="0" xfId="2" applyNumberFormat="1" applyFont="1" applyAlignment="1">
      <alignment horizontal="centerContinuous" wrapText="1"/>
    </xf>
    <xf numFmtId="0" fontId="13" fillId="0" borderId="0" xfId="0" applyFont="1" applyAlignment="1">
      <alignment horizontal="centerContinuous" wrapText="1"/>
    </xf>
    <xf numFmtId="0" fontId="13" fillId="0" borderId="0" xfId="0" applyFont="1"/>
    <xf numFmtId="49" fontId="0" fillId="0" borderId="0" xfId="0" quotePrefix="1" applyNumberFormat="1"/>
    <xf numFmtId="15" fontId="0" fillId="0" borderId="0" xfId="0" quotePrefix="1" applyNumberFormat="1"/>
    <xf numFmtId="17" fontId="0" fillId="0" borderId="0" xfId="0" quotePrefix="1" applyNumberFormat="1"/>
    <xf numFmtId="0" fontId="0" fillId="0" borderId="0" xfId="0" quotePrefix="1"/>
    <xf numFmtId="0" fontId="19" fillId="0" borderId="0" xfId="0" applyFont="1"/>
    <xf numFmtId="166" fontId="22" fillId="0" borderId="0" xfId="0" applyNumberFormat="1" applyFont="1" applyAlignment="1">
      <alignment horizontal="center"/>
    </xf>
    <xf numFmtId="0" fontId="22" fillId="0" borderId="0" xfId="0" applyFont="1" applyAlignment="1">
      <alignment horizontal="center"/>
    </xf>
    <xf numFmtId="0" fontId="34" fillId="0" borderId="0" xfId="0" applyFont="1"/>
    <xf numFmtId="0" fontId="36" fillId="0" borderId="0" xfId="0" applyFont="1"/>
    <xf numFmtId="0" fontId="37" fillId="0" borderId="0" xfId="0" applyFont="1"/>
    <xf numFmtId="0" fontId="33" fillId="0" borderId="0" xfId="0" applyFont="1"/>
    <xf numFmtId="165" fontId="33" fillId="0" borderId="0" xfId="2" applyNumberFormat="1" applyFont="1"/>
    <xf numFmtId="165" fontId="33" fillId="0" borderId="0" xfId="0" applyNumberFormat="1" applyFont="1"/>
    <xf numFmtId="165" fontId="15" fillId="0" borderId="0" xfId="2" applyNumberFormat="1" applyFont="1" applyFill="1" applyBorder="1"/>
    <xf numFmtId="0" fontId="13" fillId="0" borderId="0" xfId="0" applyFont="1" applyAlignment="1">
      <alignment horizontal="left" indent="2"/>
    </xf>
    <xf numFmtId="170" fontId="13" fillId="0" borderId="0" xfId="1" applyNumberFormat="1" applyFont="1"/>
    <xf numFmtId="0" fontId="38" fillId="0" borderId="0" xfId="0" applyFont="1"/>
    <xf numFmtId="165" fontId="38" fillId="0" borderId="0" xfId="2" applyNumberFormat="1" applyFont="1"/>
    <xf numFmtId="9" fontId="1" fillId="0" borderId="0" xfId="3"/>
    <xf numFmtId="0" fontId="32" fillId="0" borderId="0" xfId="0" applyFont="1"/>
    <xf numFmtId="174" fontId="0" fillId="0" borderId="0" xfId="2" applyNumberFormat="1" applyFont="1"/>
    <xf numFmtId="174" fontId="0" fillId="0" borderId="0" xfId="2" applyNumberFormat="1" applyFont="1" applyBorder="1"/>
    <xf numFmtId="174" fontId="0" fillId="0" borderId="0" xfId="0" applyNumberFormat="1"/>
    <xf numFmtId="0" fontId="0" fillId="0" borderId="0" xfId="0" applyBorder="1" applyAlignment="1">
      <alignment horizontal="centerContinuous"/>
    </xf>
    <xf numFmtId="0" fontId="18" fillId="0" borderId="0" xfId="0" applyFont="1" applyBorder="1" applyAlignment="1">
      <alignment horizontal="left"/>
    </xf>
    <xf numFmtId="177" fontId="15" fillId="0" borderId="0" xfId="1" applyNumberFormat="1" applyFont="1"/>
    <xf numFmtId="177" fontId="13" fillId="0" borderId="0" xfId="1" applyNumberFormat="1" applyFont="1"/>
    <xf numFmtId="174" fontId="14" fillId="0" borderId="0" xfId="2" applyNumberFormat="1" applyFont="1" applyBorder="1"/>
    <xf numFmtId="177" fontId="1" fillId="0" borderId="0" xfId="1" applyNumberFormat="1"/>
    <xf numFmtId="5" fontId="1" fillId="0" borderId="0" xfId="2" applyNumberFormat="1"/>
    <xf numFmtId="5" fontId="0" fillId="0" borderId="0" xfId="2" applyNumberFormat="1" applyFont="1"/>
    <xf numFmtId="37" fontId="15" fillId="0" borderId="0" xfId="2" applyNumberFormat="1" applyFont="1"/>
    <xf numFmtId="5" fontId="14" fillId="0" borderId="0" xfId="2" applyNumberFormat="1" applyFont="1"/>
    <xf numFmtId="5" fontId="1" fillId="0" borderId="0" xfId="1" applyNumberFormat="1"/>
    <xf numFmtId="6" fontId="21" fillId="0" borderId="0" xfId="1" applyNumberFormat="1" applyFont="1"/>
    <xf numFmtId="9" fontId="0" fillId="0" borderId="0" xfId="3" applyFont="1" applyAlignment="1">
      <alignment horizontal="left"/>
    </xf>
    <xf numFmtId="0" fontId="15" fillId="0" borderId="0" xfId="0" applyFont="1" applyAlignment="1">
      <alignment horizontal="left"/>
    </xf>
    <xf numFmtId="0" fontId="2" fillId="0" borderId="0" xfId="0" applyFont="1" applyBorder="1" applyAlignment="1">
      <alignment horizontal="centerContinuous" wrapText="1"/>
    </xf>
    <xf numFmtId="0" fontId="39" fillId="0" borderId="0" xfId="0" applyFont="1" applyBorder="1"/>
    <xf numFmtId="0" fontId="39" fillId="0" borderId="0" xfId="0" applyFont="1" applyBorder="1" applyAlignment="1"/>
    <xf numFmtId="0" fontId="1" fillId="0" borderId="17" xfId="0" applyFont="1" applyBorder="1" applyAlignment="1"/>
    <xf numFmtId="0" fontId="1" fillId="0" borderId="17" xfId="0" applyFont="1" applyBorder="1"/>
    <xf numFmtId="0" fontId="39" fillId="4" borderId="17" xfId="0" applyFont="1" applyFill="1" applyBorder="1" applyAlignment="1"/>
    <xf numFmtId="0" fontId="39" fillId="4" borderId="17" xfId="0" applyFont="1" applyFill="1" applyBorder="1" applyAlignment="1">
      <alignment horizontal="centerContinuous"/>
    </xf>
    <xf numFmtId="0" fontId="39" fillId="0" borderId="17" xfId="0" applyFont="1" applyBorder="1" applyAlignment="1"/>
    <xf numFmtId="0" fontId="39" fillId="0" borderId="17" xfId="0" applyFont="1" applyBorder="1"/>
    <xf numFmtId="0" fontId="2" fillId="0" borderId="17" xfId="0" applyFont="1" applyBorder="1" applyAlignment="1"/>
    <xf numFmtId="0" fontId="2" fillId="0" borderId="17" xfId="0" applyFont="1" applyBorder="1"/>
    <xf numFmtId="0" fontId="2" fillId="0" borderId="17" xfId="0" applyFont="1" applyBorder="1" applyAlignment="1">
      <alignment horizontal="centerContinuous" wrapText="1"/>
    </xf>
    <xf numFmtId="0" fontId="36" fillId="0" borderId="17" xfId="0" applyFont="1" applyBorder="1" applyAlignment="1"/>
    <xf numFmtId="0" fontId="23" fillId="0" borderId="17" xfId="0" applyFont="1" applyBorder="1" applyAlignment="1"/>
    <xf numFmtId="0" fontId="36" fillId="0" borderId="17" xfId="0" applyFont="1" applyBorder="1"/>
    <xf numFmtId="0" fontId="23" fillId="0" borderId="17" xfId="0" applyFont="1" applyBorder="1"/>
    <xf numFmtId="0" fontId="40" fillId="0" borderId="17" xfId="0" applyFont="1" applyBorder="1" applyAlignment="1"/>
    <xf numFmtId="0" fontId="40" fillId="0" borderId="17" xfId="0" applyFont="1" applyBorder="1"/>
    <xf numFmtId="0" fontId="41" fillId="0" borderId="17" xfId="0" applyFont="1" applyBorder="1" applyAlignment="1"/>
    <xf numFmtId="0" fontId="41" fillId="0" borderId="17" xfId="0" applyFont="1" applyBorder="1"/>
    <xf numFmtId="0" fontId="41" fillId="4" borderId="17" xfId="0" applyFont="1" applyFill="1" applyBorder="1" applyAlignment="1">
      <alignment horizontal="centerContinuous"/>
    </xf>
    <xf numFmtId="0" fontId="42" fillId="0" borderId="17" xfId="0" applyFont="1" applyBorder="1"/>
    <xf numFmtId="0" fontId="41" fillId="0" borderId="0" xfId="0" applyFont="1" applyBorder="1" applyAlignment="1"/>
    <xf numFmtId="0" fontId="41" fillId="0" borderId="0" xfId="0" applyFont="1" applyBorder="1"/>
    <xf numFmtId="0" fontId="0" fillId="0" borderId="17" xfId="0" applyBorder="1"/>
    <xf numFmtId="0" fontId="25" fillId="0" borderId="17" xfId="0" applyFont="1" applyBorder="1" applyAlignment="1"/>
    <xf numFmtId="0" fontId="43" fillId="0" borderId="17" xfId="0" applyFont="1" applyBorder="1" applyAlignment="1"/>
    <xf numFmtId="0" fontId="43" fillId="0" borderId="17" xfId="0" applyFont="1" applyBorder="1"/>
    <xf numFmtId="0" fontId="25" fillId="0" borderId="17" xfId="0" applyFont="1" applyBorder="1"/>
    <xf numFmtId="0" fontId="44" fillId="0" borderId="17" xfId="0" applyFont="1" applyBorder="1" applyAlignment="1"/>
    <xf numFmtId="0" fontId="35" fillId="0" borderId="17" xfId="0" applyFont="1" applyBorder="1" applyAlignment="1"/>
    <xf numFmtId="0" fontId="35" fillId="0" borderId="17" xfId="0" applyFont="1" applyBorder="1"/>
    <xf numFmtId="0" fontId="44" fillId="0" borderId="17" xfId="0" applyFont="1" applyBorder="1"/>
    <xf numFmtId="0" fontId="44" fillId="0" borderId="0" xfId="0" applyFont="1" applyBorder="1"/>
    <xf numFmtId="0" fontId="26" fillId="0" borderId="17" xfId="0" applyFont="1" applyBorder="1" applyAlignment="1"/>
    <xf numFmtId="0" fontId="13" fillId="0" borderId="17" xfId="0" applyFont="1" applyBorder="1"/>
    <xf numFmtId="0" fontId="45" fillId="0" borderId="0" xfId="0" applyFont="1"/>
    <xf numFmtId="175" fontId="38" fillId="0" borderId="0" xfId="2" applyNumberFormat="1" applyFont="1"/>
    <xf numFmtId="176" fontId="38" fillId="0" borderId="0" xfId="1" applyNumberFormat="1" applyFont="1"/>
    <xf numFmtId="178" fontId="46" fillId="0" borderId="0" xfId="1" applyNumberFormat="1" applyFont="1"/>
    <xf numFmtId="2" fontId="38" fillId="0" borderId="0" xfId="0" applyNumberFormat="1" applyFont="1"/>
    <xf numFmtId="178" fontId="38" fillId="0" borderId="0" xfId="1" applyNumberFormat="1" applyFont="1"/>
    <xf numFmtId="164" fontId="38" fillId="0" borderId="0" xfId="2" applyNumberFormat="1" applyFont="1"/>
    <xf numFmtId="172" fontId="38" fillId="0" borderId="0" xfId="1" applyNumberFormat="1" applyFont="1"/>
    <xf numFmtId="170" fontId="38" fillId="0" borderId="0" xfId="1" applyNumberFormat="1" applyFont="1"/>
    <xf numFmtId="0" fontId="42" fillId="0" borderId="0" xfId="0" applyFont="1" applyBorder="1" applyAlignment="1"/>
    <xf numFmtId="0" fontId="2" fillId="0" borderId="0" xfId="0" applyFont="1" applyBorder="1" applyAlignment="1"/>
    <xf numFmtId="0" fontId="42" fillId="0" borderId="0" xfId="0" applyFont="1" applyBorder="1" applyAlignment="1">
      <alignment horizontal="centerContinuous" wrapText="1"/>
    </xf>
    <xf numFmtId="0" fontId="34" fillId="0" borderId="0" xfId="0" applyFont="1" applyBorder="1"/>
    <xf numFmtId="0" fontId="42" fillId="0" borderId="0" xfId="0" applyFont="1" applyBorder="1"/>
    <xf numFmtId="0" fontId="0" fillId="4" borderId="17" xfId="0" applyFill="1" applyBorder="1" applyAlignment="1">
      <alignment horizontal="centerContinuous"/>
    </xf>
    <xf numFmtId="0" fontId="0" fillId="4" borderId="17" xfId="0" applyFill="1" applyBorder="1"/>
    <xf numFmtId="0" fontId="1" fillId="0" borderId="0" xfId="0" applyFont="1" applyBorder="1" applyAlignment="1"/>
    <xf numFmtId="0" fontId="1" fillId="0" borderId="0" xfId="0" applyFont="1" applyBorder="1"/>
    <xf numFmtId="0" fontId="40" fillId="0" borderId="17" xfId="0" applyFont="1" applyBorder="1" applyAlignment="1">
      <alignment horizontal="centerContinuous" wrapText="1"/>
    </xf>
    <xf numFmtId="0" fontId="26" fillId="0" borderId="17" xfId="0" applyFont="1" applyBorder="1"/>
    <xf numFmtId="0" fontId="22" fillId="0" borderId="17" xfId="0" applyFont="1" applyBorder="1" applyAlignment="1"/>
    <xf numFmtId="0" fontId="33" fillId="0" borderId="1" xfId="0" applyFont="1" applyBorder="1" applyAlignment="1">
      <alignment horizontal="center"/>
    </xf>
    <xf numFmtId="0" fontId="33" fillId="0" borderId="2" xfId="0" applyFont="1" applyFill="1" applyBorder="1" applyAlignment="1">
      <alignment horizontal="center"/>
    </xf>
    <xf numFmtId="5" fontId="33" fillId="0" borderId="0" xfId="2" applyNumberFormat="1" applyFont="1"/>
    <xf numFmtId="37" fontId="33" fillId="0" borderId="0" xfId="2" applyNumberFormat="1" applyFont="1"/>
    <xf numFmtId="37" fontId="47" fillId="0" borderId="0" xfId="2" applyNumberFormat="1" applyFont="1"/>
    <xf numFmtId="5" fontId="48" fillId="0" borderId="0" xfId="2" applyNumberFormat="1" applyFont="1"/>
    <xf numFmtId="0" fontId="13" fillId="0" borderId="0" xfId="0" applyFont="1" applyFill="1" applyBorder="1" applyAlignment="1">
      <alignment horizontal="center"/>
    </xf>
    <xf numFmtId="0" fontId="13" fillId="0" borderId="1" xfId="0" applyFont="1" applyFill="1" applyBorder="1" applyAlignment="1">
      <alignment horizontal="center"/>
    </xf>
    <xf numFmtId="0" fontId="13" fillId="0" borderId="2" xfId="0" applyFont="1" applyFill="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13" fillId="0" borderId="0" xfId="0" applyFont="1" applyAlignment="1">
      <alignment horizontal="centerContinuous"/>
    </xf>
    <xf numFmtId="5" fontId="13" fillId="0" borderId="0" xfId="2" applyNumberFormat="1" applyFont="1"/>
    <xf numFmtId="37" fontId="13" fillId="0" borderId="0" xfId="2" applyNumberFormat="1" applyFont="1"/>
    <xf numFmtId="9" fontId="13" fillId="0" borderId="0" xfId="3" applyFont="1"/>
    <xf numFmtId="17" fontId="13" fillId="0" borderId="1" xfId="0" applyNumberFormat="1" applyFont="1" applyBorder="1" applyAlignment="1">
      <alignment horizontal="center"/>
    </xf>
    <xf numFmtId="17" fontId="13" fillId="0" borderId="2" xfId="0" applyNumberFormat="1" applyFont="1" applyBorder="1" applyAlignment="1">
      <alignment horizontal="center"/>
    </xf>
    <xf numFmtId="17" fontId="13" fillId="0" borderId="3" xfId="0" applyNumberFormat="1" applyFont="1" applyBorder="1" applyAlignment="1">
      <alignment horizontal="center"/>
    </xf>
    <xf numFmtId="0" fontId="13" fillId="0" borderId="0" xfId="0" applyFont="1" applyFill="1"/>
    <xf numFmtId="0" fontId="13" fillId="0" borderId="0" xfId="0" applyFont="1" applyAlignment="1">
      <alignment horizontal="left"/>
    </xf>
    <xf numFmtId="6" fontId="13" fillId="0" borderId="5" xfId="0" applyNumberFormat="1" applyFont="1" applyBorder="1"/>
    <xf numFmtId="9" fontId="13" fillId="0" borderId="5" xfId="0" applyNumberFormat="1" applyFont="1" applyBorder="1"/>
    <xf numFmtId="171" fontId="13" fillId="0" borderId="5" xfId="1" applyNumberFormat="1" applyFont="1" applyBorder="1" applyAlignment="1">
      <alignment horizontal="center"/>
    </xf>
    <xf numFmtId="0" fontId="50" fillId="0" borderId="17" xfId="0" applyFont="1" applyBorder="1" applyAlignment="1"/>
    <xf numFmtId="0" fontId="22" fillId="0" borderId="17" xfId="0" applyFont="1" applyBorder="1" applyAlignment="1">
      <alignment horizontal="left"/>
    </xf>
    <xf numFmtId="0" fontId="25" fillId="4" borderId="17" xfId="0" applyFont="1" applyFill="1" applyBorder="1" applyAlignment="1"/>
    <xf numFmtId="0" fontId="25" fillId="4" borderId="17" xfId="0" applyFont="1" applyFill="1" applyBorder="1"/>
    <xf numFmtId="0" fontId="36" fillId="0" borderId="0" xfId="0" applyFont="1" applyBorder="1"/>
    <xf numFmtId="0" fontId="33" fillId="0" borderId="3" xfId="0" applyFont="1" applyFill="1" applyBorder="1" applyAlignment="1">
      <alignment horizontal="center"/>
    </xf>
    <xf numFmtId="37" fontId="51" fillId="0" borderId="0" xfId="2" applyNumberFormat="1" applyFont="1"/>
    <xf numFmtId="175" fontId="49" fillId="0" borderId="0" xfId="2" applyNumberFormat="1" applyFont="1"/>
    <xf numFmtId="165" fontId="21" fillId="0" borderId="0" xfId="2" applyNumberFormat="1" applyFont="1"/>
    <xf numFmtId="174" fontId="13" fillId="0" borderId="0" xfId="0" applyNumberFormat="1" applyFont="1"/>
    <xf numFmtId="5" fontId="18" fillId="0" borderId="0" xfId="0" applyNumberFormat="1" applyFont="1"/>
    <xf numFmtId="5" fontId="15" fillId="0" borderId="0" xfId="1" applyNumberFormat="1" applyFont="1"/>
    <xf numFmtId="9" fontId="13" fillId="0" borderId="5" xfId="3" applyFont="1" applyBorder="1" applyAlignment="1">
      <alignment horizontal="center"/>
    </xf>
    <xf numFmtId="168" fontId="0" fillId="0" borderId="0" xfId="0" applyNumberFormat="1"/>
    <xf numFmtId="171" fontId="0" fillId="0" borderId="8" xfId="0" applyNumberFormat="1" applyBorder="1"/>
    <xf numFmtId="171" fontId="0" fillId="0" borderId="9" xfId="0" applyNumberFormat="1" applyBorder="1"/>
    <xf numFmtId="171" fontId="16" fillId="0" borderId="0" xfId="0" applyNumberFormat="1" applyFont="1" applyBorder="1"/>
    <xf numFmtId="171" fontId="16" fillId="0" borderId="13" xfId="0" applyNumberFormat="1" applyFont="1" applyBorder="1"/>
    <xf numFmtId="171" fontId="0" fillId="0" borderId="13" xfId="0" applyNumberFormat="1" applyBorder="1"/>
    <xf numFmtId="1" fontId="0" fillId="0" borderId="6" xfId="0" applyNumberFormat="1" applyBorder="1"/>
    <xf numFmtId="1" fontId="0" fillId="0" borderId="11" xfId="0" applyNumberFormat="1" applyBorder="1"/>
    <xf numFmtId="37" fontId="15" fillId="0" borderId="0" xfId="1" applyNumberFormat="1" applyFont="1"/>
    <xf numFmtId="37" fontId="13" fillId="0" borderId="0" xfId="1" applyNumberFormat="1" applyFont="1"/>
    <xf numFmtId="37" fontId="1" fillId="0" borderId="0" xfId="1" applyNumberFormat="1"/>
    <xf numFmtId="5" fontId="14" fillId="0" borderId="0" xfId="0" applyNumberFormat="1" applyFont="1"/>
    <xf numFmtId="5" fontId="14" fillId="0" borderId="0" xfId="1" applyNumberFormat="1" applyFont="1"/>
    <xf numFmtId="171" fontId="0" fillId="0" borderId="6" xfId="1" applyNumberFormat="1" applyFont="1" applyBorder="1"/>
    <xf numFmtId="171" fontId="0" fillId="0" borderId="8" xfId="1" applyNumberFormat="1" applyFont="1" applyBorder="1"/>
    <xf numFmtId="171" fontId="16" fillId="0" borderId="0" xfId="1" applyNumberFormat="1" applyFont="1" applyBorder="1"/>
    <xf numFmtId="5" fontId="13" fillId="0" borderId="5" xfId="2" applyNumberFormat="1" applyFont="1" applyBorder="1" applyAlignment="1">
      <alignment horizontal="center"/>
    </xf>
    <xf numFmtId="5" fontId="13" fillId="0" borderId="0" xfId="2" applyNumberFormat="1" applyFont="1" applyBorder="1" applyAlignment="1">
      <alignment horizontal="center"/>
    </xf>
    <xf numFmtId="9" fontId="0" fillId="0" borderId="0" xfId="3" applyFont="1" applyAlignment="1">
      <alignment horizontal="center"/>
    </xf>
    <xf numFmtId="37" fontId="13" fillId="0" borderId="0" xfId="2" applyNumberFormat="1" applyFont="1" applyBorder="1"/>
    <xf numFmtId="43" fontId="2" fillId="0" borderId="0" xfId="0" applyNumberFormat="1" applyFont="1" applyBorder="1"/>
    <xf numFmtId="5" fontId="0" fillId="0" borderId="0" xfId="0" applyNumberFormat="1"/>
    <xf numFmtId="0" fontId="2" fillId="0" borderId="6" xfId="0" applyFont="1" applyBorder="1" applyAlignment="1"/>
    <xf numFmtId="0" fontId="2" fillId="0" borderId="6" xfId="0" applyFont="1" applyBorder="1" applyAlignment="1">
      <alignment horizontal="center"/>
    </xf>
    <xf numFmtId="0" fontId="2" fillId="0" borderId="0" xfId="0" applyFont="1" applyBorder="1" applyAlignment="1">
      <alignment horizontal="center"/>
    </xf>
    <xf numFmtId="17" fontId="13" fillId="0" borderId="0" xfId="0" applyNumberFormat="1" applyFont="1" applyBorder="1" applyAlignment="1">
      <alignment horizontal="center"/>
    </xf>
    <xf numFmtId="5" fontId="24" fillId="0" borderId="0" xfId="2" applyNumberFormat="1" applyFont="1"/>
    <xf numFmtId="0" fontId="13" fillId="0" borderId="0" xfId="0" applyFont="1" applyAlignment="1">
      <alignment horizontal="center"/>
    </xf>
    <xf numFmtId="37" fontId="15" fillId="0" borderId="0" xfId="0" applyNumberFormat="1" applyFont="1"/>
    <xf numFmtId="8" fontId="13" fillId="0" borderId="0" xfId="0" applyNumberFormat="1" applyFont="1"/>
    <xf numFmtId="5" fontId="33" fillId="0" borderId="0" xfId="2" applyNumberFormat="1" applyFont="1" applyAlignment="1">
      <alignment horizontal="center"/>
    </xf>
    <xf numFmtId="37" fontId="47" fillId="0" borderId="0" xfId="2" applyNumberFormat="1" applyFont="1" applyAlignment="1">
      <alignment horizontal="center"/>
    </xf>
    <xf numFmtId="37" fontId="33" fillId="0" borderId="0" xfId="2" applyNumberFormat="1" applyFont="1" applyAlignment="1">
      <alignment horizontal="center"/>
    </xf>
    <xf numFmtId="2" fontId="13" fillId="0" borderId="0" xfId="0" applyNumberFormat="1" applyFont="1" applyBorder="1" applyAlignment="1">
      <alignment horizontal="center"/>
    </xf>
    <xf numFmtId="171" fontId="0" fillId="0" borderId="0" xfId="2" applyNumberFormat="1" applyFont="1" applyBorder="1"/>
    <xf numFmtId="0" fontId="0" fillId="0" borderId="3" xfId="0" applyBorder="1" applyAlignment="1">
      <alignment horizontal="center"/>
    </xf>
    <xf numFmtId="171" fontId="13" fillId="0" borderId="0" xfId="1" applyNumberFormat="1" applyFont="1"/>
    <xf numFmtId="165" fontId="2" fillId="0" borderId="18" xfId="2" applyNumberFormat="1" applyFont="1" applyBorder="1"/>
    <xf numFmtId="165" fontId="6" fillId="0" borderId="18" xfId="2" applyNumberFormat="1" applyFont="1" applyBorder="1"/>
    <xf numFmtId="0" fontId="2" fillId="0" borderId="19" xfId="0" applyFont="1" applyBorder="1" applyAlignment="1">
      <alignment horizontal="center"/>
    </xf>
    <xf numFmtId="165" fontId="52" fillId="0" borderId="18" xfId="2" applyNumberFormat="1" applyFont="1" applyBorder="1"/>
    <xf numFmtId="0" fontId="2" fillId="0" borderId="18" xfId="0" applyFont="1" applyBorder="1"/>
    <xf numFmtId="165" fontId="2" fillId="0" borderId="18" xfId="0" applyNumberFormat="1" applyFont="1" applyBorder="1"/>
    <xf numFmtId="43" fontId="2" fillId="0" borderId="18" xfId="0" applyNumberFormat="1" applyFont="1" applyBorder="1"/>
    <xf numFmtId="165" fontId="6" fillId="0" borderId="18" xfId="0" applyNumberFormat="1" applyFont="1" applyBorder="1"/>
    <xf numFmtId="165" fontId="6" fillId="0" borderId="0" xfId="2" applyNumberFormat="1" applyFont="1" applyBorder="1"/>
    <xf numFmtId="170" fontId="1" fillId="0" borderId="0" xfId="1" applyNumberFormat="1" applyBorder="1"/>
    <xf numFmtId="174" fontId="54" fillId="0" borderId="0" xfId="2" applyNumberFormat="1" applyFont="1" applyBorder="1"/>
    <xf numFmtId="0" fontId="38" fillId="0" borderId="0" xfId="0" applyFont="1" applyAlignment="1">
      <alignment horizontal="center"/>
    </xf>
    <xf numFmtId="0" fontId="33" fillId="0" borderId="0" xfId="0" applyFont="1" applyAlignment="1"/>
    <xf numFmtId="0" fontId="33" fillId="0" borderId="0" xfId="0" applyFont="1" applyBorder="1"/>
    <xf numFmtId="174" fontId="33" fillId="0" borderId="0" xfId="2" applyNumberFormat="1" applyFont="1" applyBorder="1"/>
    <xf numFmtId="177" fontId="51" fillId="0" borderId="0" xfId="1" applyNumberFormat="1" applyFont="1" applyBorder="1"/>
    <xf numFmtId="9" fontId="33" fillId="0" borderId="0" xfId="0" applyNumberFormat="1" applyFont="1" applyBorder="1"/>
    <xf numFmtId="174" fontId="48" fillId="0" borderId="0" xfId="2" applyNumberFormat="1" applyFont="1" applyBorder="1"/>
    <xf numFmtId="0" fontId="35" fillId="0" borderId="0" xfId="0" applyFont="1" applyAlignment="1"/>
    <xf numFmtId="0" fontId="35" fillId="0" borderId="0" xfId="0" applyFont="1"/>
    <xf numFmtId="0" fontId="35" fillId="0" borderId="0" xfId="0" applyFont="1" applyBorder="1"/>
    <xf numFmtId="174" fontId="35" fillId="0" borderId="0" xfId="2" applyNumberFormat="1" applyFont="1" applyBorder="1"/>
    <xf numFmtId="177" fontId="35" fillId="0" borderId="0" xfId="1" applyNumberFormat="1" applyFont="1" applyBorder="1"/>
    <xf numFmtId="9" fontId="35" fillId="0" borderId="0" xfId="0" applyNumberFormat="1" applyFont="1" applyBorder="1"/>
    <xf numFmtId="0" fontId="22" fillId="0" borderId="0" xfId="0" applyFont="1" applyBorder="1"/>
    <xf numFmtId="165" fontId="22" fillId="0" borderId="0" xfId="0" applyNumberFormat="1" applyFont="1" applyBorder="1"/>
    <xf numFmtId="37" fontId="15" fillId="0" borderId="0" xfId="2" applyNumberFormat="1" applyFont="1" applyFill="1" applyBorder="1"/>
    <xf numFmtId="165" fontId="13" fillId="0" borderId="0" xfId="0" applyNumberFormat="1" applyFont="1" applyFill="1" applyBorder="1"/>
    <xf numFmtId="0" fontId="0" fillId="0" borderId="18" xfId="0" applyBorder="1" applyAlignment="1">
      <alignment horizontal="center"/>
    </xf>
    <xf numFmtId="0" fontId="13" fillId="0" borderId="19" xfId="0" applyFont="1" applyFill="1" applyBorder="1" applyAlignment="1">
      <alignment horizontal="center"/>
    </xf>
    <xf numFmtId="0" fontId="13" fillId="0" borderId="18" xfId="0" applyFont="1" applyFill="1" applyBorder="1" applyAlignment="1">
      <alignment horizontal="left"/>
    </xf>
    <xf numFmtId="5" fontId="13" fillId="0" borderId="18" xfId="2" applyNumberFormat="1" applyFont="1" applyFill="1" applyBorder="1"/>
    <xf numFmtId="37" fontId="13" fillId="0" borderId="18" xfId="2" applyNumberFormat="1" applyFont="1" applyFill="1" applyBorder="1"/>
    <xf numFmtId="37" fontId="15" fillId="0" borderId="18" xfId="2" applyNumberFormat="1" applyFont="1" applyFill="1" applyBorder="1"/>
    <xf numFmtId="165" fontId="13" fillId="0" borderId="18" xfId="0" applyNumberFormat="1" applyFont="1" applyFill="1" applyBorder="1"/>
    <xf numFmtId="5" fontId="14" fillId="0" borderId="18" xfId="2" applyNumberFormat="1" applyFont="1" applyFill="1" applyBorder="1"/>
    <xf numFmtId="5" fontId="13" fillId="0" borderId="0" xfId="2" applyNumberFormat="1" applyFont="1" applyBorder="1"/>
    <xf numFmtId="37" fontId="15" fillId="0" borderId="0" xfId="2" applyNumberFormat="1" applyFont="1" applyBorder="1"/>
    <xf numFmtId="5" fontId="14" fillId="0" borderId="0" xfId="2" applyNumberFormat="1" applyFont="1" applyBorder="1"/>
    <xf numFmtId="9" fontId="13" fillId="0" borderId="5" xfId="3" applyFont="1" applyFill="1" applyBorder="1" applyAlignment="1">
      <alignment horizontal="center"/>
    </xf>
    <xf numFmtId="41" fontId="2" fillId="0" borderId="0" xfId="2" applyNumberFormat="1" applyFont="1"/>
    <xf numFmtId="41" fontId="5" fillId="0" borderId="0" xfId="2" applyNumberFormat="1" applyFont="1"/>
    <xf numFmtId="41" fontId="2" fillId="0" borderId="0" xfId="2" applyNumberFormat="1" applyFont="1" applyBorder="1"/>
    <xf numFmtId="41" fontId="5" fillId="0" borderId="0" xfId="2" applyNumberFormat="1" applyFont="1" applyBorder="1"/>
    <xf numFmtId="41" fontId="2" fillId="0" borderId="18" xfId="2" applyNumberFormat="1" applyFont="1" applyBorder="1"/>
    <xf numFmtId="41" fontId="5" fillId="0" borderId="18" xfId="2" applyNumberFormat="1" applyFont="1" applyBorder="1"/>
    <xf numFmtId="43" fontId="1" fillId="0" borderId="0" xfId="1" applyFont="1" applyFill="1" applyAlignment="1">
      <alignment horizontal="right"/>
    </xf>
    <xf numFmtId="171" fontId="1" fillId="0" borderId="0" xfId="1" applyNumberFormat="1" applyFill="1" applyBorder="1"/>
    <xf numFmtId="171" fontId="13" fillId="0" borderId="0" xfId="1" applyNumberFormat="1" applyFont="1" applyAlignment="1">
      <alignment horizontal="center" wrapText="1"/>
    </xf>
    <xf numFmtId="171" fontId="13" fillId="0" borderId="0" xfId="1" applyNumberFormat="1" applyFont="1" applyBorder="1" applyAlignment="1">
      <alignment horizontal="center" wrapText="1"/>
    </xf>
    <xf numFmtId="0" fontId="18" fillId="0" borderId="0" xfId="0" applyFont="1" applyAlignment="1">
      <alignment horizontal="left"/>
    </xf>
    <xf numFmtId="0" fontId="18" fillId="0" borderId="0" xfId="0" applyFont="1" applyAlignment="1">
      <alignment horizontal="center"/>
    </xf>
    <xf numFmtId="179" fontId="0" fillId="0" borderId="0" xfId="0" applyNumberFormat="1" applyAlignment="1">
      <alignment horizontal="center"/>
    </xf>
    <xf numFmtId="173" fontId="0" fillId="0" borderId="0" xfId="0" applyNumberFormat="1" applyAlignment="1">
      <alignment horizontal="center"/>
    </xf>
    <xf numFmtId="14" fontId="0" fillId="0" borderId="0" xfId="0" applyNumberFormat="1" applyAlignment="1">
      <alignment horizontal="center"/>
    </xf>
    <xf numFmtId="0" fontId="21" fillId="0" borderId="0" xfId="0" applyFont="1" applyAlignment="1">
      <alignment horizontal="left"/>
    </xf>
    <xf numFmtId="0" fontId="57" fillId="0" borderId="0" xfId="0" applyFont="1" applyAlignment="1">
      <alignment horizontal="left"/>
    </xf>
    <xf numFmtId="0" fontId="18" fillId="4" borderId="0" xfId="0" applyFont="1" applyFill="1" applyAlignment="1">
      <alignment horizontal="center"/>
    </xf>
    <xf numFmtId="173" fontId="0" fillId="0" borderId="7" xfId="0" applyNumberFormat="1" applyBorder="1" applyAlignment="1">
      <alignment horizontal="center"/>
    </xf>
    <xf numFmtId="173" fontId="0" fillId="0" borderId="9" xfId="0" applyNumberFormat="1" applyBorder="1" applyAlignment="1">
      <alignment horizontal="center"/>
    </xf>
    <xf numFmtId="173" fontId="0" fillId="0" borderId="10" xfId="0" applyNumberFormat="1" applyBorder="1" applyAlignment="1">
      <alignment horizontal="center"/>
    </xf>
    <xf numFmtId="173" fontId="0" fillId="0" borderId="11" xfId="0" applyNumberFormat="1" applyBorder="1" applyAlignment="1">
      <alignment horizontal="center"/>
    </xf>
    <xf numFmtId="0" fontId="0" fillId="0" borderId="16" xfId="0" applyBorder="1"/>
    <xf numFmtId="171" fontId="0" fillId="0" borderId="11" xfId="1" applyNumberFormat="1" applyFont="1" applyBorder="1"/>
    <xf numFmtId="0" fontId="0" fillId="4" borderId="16" xfId="0" applyFill="1" applyBorder="1"/>
    <xf numFmtId="0" fontId="18" fillId="0" borderId="16" xfId="0" applyFont="1" applyBorder="1" applyAlignment="1">
      <alignment horizontal="center"/>
    </xf>
    <xf numFmtId="0" fontId="0" fillId="0" borderId="16" xfId="0" applyBorder="1" applyAlignment="1">
      <alignment horizontal="center"/>
    </xf>
    <xf numFmtId="0" fontId="0" fillId="4" borderId="16" xfId="0" applyFill="1" applyBorder="1" applyAlignment="1">
      <alignment horizontal="center"/>
    </xf>
    <xf numFmtId="5" fontId="1" fillId="4" borderId="0" xfId="2" applyNumberFormat="1" applyFill="1" applyAlignment="1">
      <alignment horizontal="center"/>
    </xf>
    <xf numFmtId="7" fontId="1" fillId="4" borderId="0" xfId="2" applyNumberFormat="1" applyFill="1" applyAlignment="1">
      <alignment horizontal="center"/>
    </xf>
    <xf numFmtId="39" fontId="1" fillId="4" borderId="0" xfId="1" applyNumberFormat="1" applyFill="1" applyAlignment="1">
      <alignment horizontal="center"/>
    </xf>
    <xf numFmtId="37" fontId="1" fillId="4" borderId="0" xfId="1" applyNumberFormat="1" applyFill="1" applyAlignment="1">
      <alignment horizontal="center"/>
    </xf>
    <xf numFmtId="173" fontId="0" fillId="4" borderId="0" xfId="0" applyNumberFormat="1" applyFill="1" applyBorder="1" applyAlignment="1">
      <alignment horizontal="center"/>
    </xf>
    <xf numFmtId="0" fontId="0" fillId="4" borderId="0" xfId="0" applyFill="1" applyAlignment="1">
      <alignment horizontal="center"/>
    </xf>
    <xf numFmtId="173" fontId="0" fillId="4" borderId="6" xfId="0" applyNumberFormat="1" applyFill="1" applyBorder="1" applyAlignment="1">
      <alignment horizontal="center"/>
    </xf>
    <xf numFmtId="37" fontId="1" fillId="4" borderId="6" xfId="1" applyNumberFormat="1" applyFill="1" applyBorder="1" applyAlignment="1">
      <alignment horizontal="center"/>
    </xf>
    <xf numFmtId="39" fontId="1" fillId="4" borderId="6" xfId="1" applyNumberFormat="1" applyFill="1" applyBorder="1" applyAlignment="1">
      <alignment horizontal="center"/>
    </xf>
    <xf numFmtId="2" fontId="0" fillId="4" borderId="6" xfId="0" applyNumberFormat="1" applyFill="1" applyBorder="1" applyAlignment="1">
      <alignment horizontal="center"/>
    </xf>
    <xf numFmtId="0" fontId="0" fillId="4" borderId="6" xfId="0" applyFill="1" applyBorder="1" applyAlignment="1">
      <alignment horizontal="center"/>
    </xf>
    <xf numFmtId="39" fontId="13" fillId="4" borderId="0" xfId="1" applyNumberFormat="1" applyFont="1" applyFill="1" applyBorder="1" applyAlignment="1">
      <alignment horizontal="center"/>
    </xf>
    <xf numFmtId="37" fontId="1" fillId="4" borderId="0" xfId="1" applyNumberFormat="1" applyFill="1" applyBorder="1" applyAlignment="1">
      <alignment horizontal="center"/>
    </xf>
    <xf numFmtId="39" fontId="1" fillId="4" borderId="0" xfId="1" applyNumberFormat="1" applyFill="1" applyBorder="1" applyAlignment="1">
      <alignment horizontal="center"/>
    </xf>
    <xf numFmtId="0" fontId="0" fillId="4" borderId="0" xfId="0" applyFill="1" applyBorder="1" applyAlignment="1">
      <alignment horizontal="center"/>
    </xf>
    <xf numFmtId="173" fontId="0" fillId="4" borderId="20" xfId="0" applyNumberFormat="1" applyFill="1" applyBorder="1" applyAlignment="1">
      <alignment horizontal="center"/>
    </xf>
    <xf numFmtId="173" fontId="0" fillId="4" borderId="21" xfId="0" applyNumberFormat="1" applyFill="1" applyBorder="1" applyAlignment="1">
      <alignment horizontal="center"/>
    </xf>
    <xf numFmtId="173" fontId="0" fillId="4" borderId="7" xfId="0" applyNumberFormat="1" applyFill="1" applyBorder="1" applyAlignment="1">
      <alignment horizontal="center"/>
    </xf>
    <xf numFmtId="173" fontId="0" fillId="4" borderId="8" xfId="0" applyNumberFormat="1" applyFill="1" applyBorder="1" applyAlignment="1">
      <alignment horizontal="center"/>
    </xf>
    <xf numFmtId="0" fontId="0" fillId="4" borderId="8" xfId="0" applyFill="1" applyBorder="1" applyAlignment="1">
      <alignment horizontal="center"/>
    </xf>
    <xf numFmtId="4" fontId="0" fillId="4" borderId="9" xfId="0" applyNumberFormat="1" applyFill="1" applyBorder="1" applyAlignment="1">
      <alignment horizontal="center"/>
    </xf>
    <xf numFmtId="173" fontId="0" fillId="4" borderId="10" xfId="0" applyNumberFormat="1" applyFill="1" applyBorder="1" applyAlignment="1">
      <alignment horizontal="center"/>
    </xf>
    <xf numFmtId="2" fontId="0" fillId="4" borderId="11" xfId="0" applyNumberFormat="1" applyFill="1" applyBorder="1" applyAlignment="1">
      <alignment horizontal="center"/>
    </xf>
    <xf numFmtId="14" fontId="0" fillId="0" borderId="6" xfId="0" applyNumberFormat="1" applyBorder="1" applyAlignment="1">
      <alignment horizontal="center"/>
    </xf>
    <xf numFmtId="179" fontId="0" fillId="0" borderId="6" xfId="0" applyNumberFormat="1" applyBorder="1" applyAlignment="1">
      <alignment horizontal="center"/>
    </xf>
    <xf numFmtId="173" fontId="0" fillId="0" borderId="6" xfId="0" applyNumberFormat="1" applyBorder="1" applyAlignment="1">
      <alignment horizontal="center"/>
    </xf>
    <xf numFmtId="0" fontId="33" fillId="0" borderId="19" xfId="0" applyFont="1" applyFill="1" applyBorder="1" applyAlignment="1">
      <alignment horizontal="center"/>
    </xf>
    <xf numFmtId="0" fontId="33" fillId="0" borderId="18" xfId="0" applyFont="1" applyBorder="1"/>
    <xf numFmtId="5" fontId="33" fillId="0" borderId="18" xfId="2" applyNumberFormat="1" applyFont="1" applyBorder="1" applyAlignment="1">
      <alignment horizontal="center"/>
    </xf>
    <xf numFmtId="37" fontId="33" fillId="0" borderId="18" xfId="2" applyNumberFormat="1" applyFont="1" applyBorder="1"/>
    <xf numFmtId="37" fontId="47" fillId="0" borderId="18" xfId="2" applyNumberFormat="1" applyFont="1" applyBorder="1"/>
    <xf numFmtId="5" fontId="33" fillId="0" borderId="18" xfId="2" applyNumberFormat="1" applyFont="1" applyBorder="1"/>
    <xf numFmtId="165" fontId="33" fillId="0" borderId="18" xfId="2" applyNumberFormat="1" applyFont="1" applyBorder="1"/>
    <xf numFmtId="37" fontId="33" fillId="0" borderId="18" xfId="2" applyNumberFormat="1" applyFont="1" applyBorder="1" applyAlignment="1">
      <alignment horizontal="center"/>
    </xf>
    <xf numFmtId="5" fontId="48" fillId="0" borderId="18" xfId="2" applyNumberFormat="1" applyFont="1" applyBorder="1"/>
    <xf numFmtId="175" fontId="49" fillId="0" borderId="18" xfId="2" applyNumberFormat="1" applyFont="1" applyBorder="1"/>
    <xf numFmtId="164" fontId="38" fillId="0" borderId="18" xfId="2" applyNumberFormat="1" applyFont="1" applyBorder="1"/>
    <xf numFmtId="0" fontId="38" fillId="0" borderId="18" xfId="0" applyFont="1" applyBorder="1"/>
    <xf numFmtId="17" fontId="38" fillId="0" borderId="18" xfId="0" applyNumberFormat="1" applyFont="1" applyBorder="1" applyAlignment="1">
      <alignment horizontal="center"/>
    </xf>
    <xf numFmtId="175" fontId="38" fillId="0" borderId="18" xfId="2" applyNumberFormat="1" applyFont="1" applyBorder="1"/>
    <xf numFmtId="178" fontId="38" fillId="0" borderId="18" xfId="1" applyNumberFormat="1" applyFont="1" applyBorder="1"/>
    <xf numFmtId="0" fontId="0" fillId="4" borderId="6" xfId="0" applyFill="1" applyBorder="1"/>
    <xf numFmtId="0" fontId="0" fillId="0" borderId="6" xfId="0" applyBorder="1" applyAlignment="1">
      <alignment horizontal="left"/>
    </xf>
    <xf numFmtId="0" fontId="58" fillId="4" borderId="0" xfId="0" applyFont="1" applyFill="1" applyAlignment="1">
      <alignment horizontal="left"/>
    </xf>
    <xf numFmtId="0" fontId="53" fillId="0" borderId="0" xfId="1" applyNumberFormat="1" applyFont="1" applyBorder="1" applyAlignment="1"/>
    <xf numFmtId="0" fontId="45" fillId="0" borderId="1" xfId="0" applyFont="1" applyBorder="1" applyAlignment="1">
      <alignment horizontal="center"/>
    </xf>
    <xf numFmtId="0" fontId="45" fillId="0" borderId="2" xfId="0" applyFont="1" applyBorder="1" applyAlignment="1">
      <alignment horizontal="center"/>
    </xf>
    <xf numFmtId="0" fontId="45" fillId="0" borderId="3" xfId="0" applyFont="1" applyBorder="1" applyAlignment="1">
      <alignment horizontal="center"/>
    </xf>
    <xf numFmtId="0" fontId="45" fillId="0" borderId="19" xfId="0" applyFont="1" applyBorder="1" applyAlignment="1">
      <alignment horizontal="center"/>
    </xf>
    <xf numFmtId="0" fontId="60" fillId="0" borderId="0" xfId="0" applyFont="1"/>
    <xf numFmtId="0" fontId="61" fillId="0" borderId="0" xfId="0" applyFont="1"/>
    <xf numFmtId="0" fontId="21" fillId="0" borderId="0" xfId="0" applyFont="1" applyBorder="1" applyAlignment="1">
      <alignment horizontal="center"/>
    </xf>
    <xf numFmtId="0" fontId="18" fillId="0" borderId="0" xfId="0" applyFont="1" applyBorder="1" applyAlignment="1">
      <alignment horizontal="center"/>
    </xf>
    <xf numFmtId="0" fontId="23" fillId="0" borderId="0" xfId="0" applyFont="1" applyBorder="1" applyAlignment="1">
      <alignment horizontal="center"/>
    </xf>
    <xf numFmtId="0" fontId="23" fillId="0" borderId="0" xfId="0" applyFont="1" applyAlignment="1">
      <alignment horizontal="center"/>
    </xf>
    <xf numFmtId="0" fontId="7" fillId="0" borderId="0" xfId="0" applyFont="1" applyAlignment="1">
      <alignment horizontal="center"/>
    </xf>
    <xf numFmtId="37" fontId="13" fillId="0" borderId="0" xfId="0" applyNumberFormat="1" applyFont="1"/>
    <xf numFmtId="174" fontId="0" fillId="0" borderId="5" xfId="2" applyNumberFormat="1" applyFont="1" applyBorder="1" applyAlignment="1">
      <alignment horizontal="center"/>
    </xf>
    <xf numFmtId="40" fontId="1" fillId="4" borderId="6" xfId="1" applyNumberFormat="1" applyFill="1" applyBorder="1" applyAlignment="1">
      <alignment horizontal="right"/>
    </xf>
    <xf numFmtId="44" fontId="1" fillId="4" borderId="0" xfId="2" applyFill="1" applyAlignment="1"/>
    <xf numFmtId="40" fontId="1" fillId="4" borderId="0" xfId="1" applyNumberFormat="1" applyFont="1" applyFill="1" applyAlignment="1">
      <alignment horizontal="right"/>
    </xf>
    <xf numFmtId="175" fontId="1" fillId="4" borderId="0" xfId="2" applyNumberFormat="1" applyFill="1" applyAlignment="1">
      <alignment horizontal="center"/>
    </xf>
    <xf numFmtId="176" fontId="1" fillId="4" borderId="0" xfId="1" applyNumberFormat="1" applyFill="1" applyAlignment="1">
      <alignment horizontal="center"/>
    </xf>
    <xf numFmtId="176" fontId="1" fillId="4" borderId="6" xfId="1" applyNumberFormat="1" applyFill="1" applyBorder="1" applyAlignment="1">
      <alignment horizontal="center"/>
    </xf>
    <xf numFmtId="14" fontId="13" fillId="0" borderId="0" xfId="0" applyNumberFormat="1" applyFont="1" applyAlignment="1">
      <alignment horizontal="center"/>
    </xf>
    <xf numFmtId="174" fontId="24" fillId="0" borderId="0" xfId="2" applyNumberFormat="1" applyFont="1"/>
    <xf numFmtId="177" fontId="24" fillId="0" borderId="0" xfId="1" applyNumberFormat="1" applyFont="1"/>
    <xf numFmtId="177" fontId="62" fillId="0" borderId="0" xfId="1" applyNumberFormat="1" applyFont="1"/>
    <xf numFmtId="173" fontId="24" fillId="0" borderId="0" xfId="1" applyNumberFormat="1" applyFont="1"/>
    <xf numFmtId="5" fontId="63" fillId="0" borderId="0" xfId="1" applyNumberFormat="1" applyFont="1"/>
    <xf numFmtId="178" fontId="46" fillId="0" borderId="0" xfId="1" applyNumberFormat="1" applyFont="1" applyBorder="1"/>
    <xf numFmtId="176" fontId="46" fillId="0" borderId="0" xfId="1" applyNumberFormat="1" applyFont="1"/>
    <xf numFmtId="0" fontId="64" fillId="0" borderId="0" xfId="0" applyFont="1" applyAlignment="1">
      <alignment horizontal="left" indent="2"/>
    </xf>
    <xf numFmtId="174" fontId="24" fillId="0" borderId="0" xfId="0" applyNumberFormat="1" applyFont="1"/>
    <xf numFmtId="171" fontId="24" fillId="0" borderId="0" xfId="1" applyNumberFormat="1" applyFont="1"/>
    <xf numFmtId="174" fontId="63" fillId="0" borderId="0" xfId="2" applyNumberFormat="1" applyFont="1" applyBorder="1"/>
    <xf numFmtId="5" fontId="24" fillId="0" borderId="0" xfId="2" applyNumberFormat="1" applyFont="1" applyAlignment="1">
      <alignment horizontal="center"/>
    </xf>
    <xf numFmtId="16" fontId="0" fillId="0" borderId="0" xfId="0" applyNumberFormat="1"/>
    <xf numFmtId="171" fontId="5" fillId="0" borderId="18" xfId="2" applyNumberFormat="1" applyFont="1" applyBorder="1"/>
    <xf numFmtId="0" fontId="0" fillId="0" borderId="0" xfId="0" applyAlignment="1">
      <alignment horizontal="left" indent="1"/>
    </xf>
    <xf numFmtId="165" fontId="0" fillId="6" borderId="14" xfId="2" applyNumberFormat="1" applyFont="1" applyFill="1" applyBorder="1"/>
    <xf numFmtId="0" fontId="23" fillId="0" borderId="0" xfId="0" applyFont="1" applyBorder="1"/>
    <xf numFmtId="9" fontId="0" fillId="0" borderId="0" xfId="0" applyNumberFormat="1" applyBorder="1" applyAlignment="1">
      <alignment horizontal="center"/>
    </xf>
    <xf numFmtId="0" fontId="0" fillId="0" borderId="6" xfId="0" applyBorder="1" applyAlignment="1">
      <alignment wrapText="1"/>
    </xf>
    <xf numFmtId="0" fontId="0" fillId="0" borderId="0" xfId="0" applyBorder="1" applyAlignment="1">
      <alignment horizontal="left" indent="1"/>
    </xf>
    <xf numFmtId="171" fontId="1" fillId="0" borderId="0" xfId="1" applyNumberFormat="1" applyFont="1" applyFill="1" applyBorder="1"/>
    <xf numFmtId="0" fontId="0" fillId="0" borderId="6" xfId="0" applyBorder="1" applyAlignment="1">
      <alignment horizontal="center" wrapText="1"/>
    </xf>
    <xf numFmtId="44" fontId="16" fillId="0" borderId="0" xfId="2" applyNumberFormat="1" applyFont="1"/>
    <xf numFmtId="44" fontId="13" fillId="0" borderId="0" xfId="2" applyFont="1"/>
    <xf numFmtId="44" fontId="15" fillId="0" borderId="0" xfId="2" applyFont="1"/>
    <xf numFmtId="44" fontId="13" fillId="0" borderId="0" xfId="2" applyNumberFormat="1" applyFont="1"/>
    <xf numFmtId="43" fontId="13" fillId="0" borderId="0" xfId="2" applyNumberFormat="1" applyFont="1"/>
    <xf numFmtId="169" fontId="13" fillId="0" borderId="0" xfId="0" applyNumberFormat="1" applyFont="1"/>
    <xf numFmtId="165" fontId="14" fillId="0" borderId="0" xfId="2" applyNumberFormat="1" applyFont="1" applyBorder="1"/>
    <xf numFmtId="5" fontId="1" fillId="0" borderId="5" xfId="2" applyNumberFormat="1" applyBorder="1"/>
    <xf numFmtId="37" fontId="2" fillId="0" borderId="0" xfId="0" applyNumberFormat="1" applyFont="1" applyBorder="1"/>
    <xf numFmtId="175" fontId="13" fillId="0" borderId="5" xfId="2" applyNumberFormat="1" applyFont="1" applyBorder="1" applyAlignment="1">
      <alignment horizontal="center"/>
    </xf>
    <xf numFmtId="0" fontId="13" fillId="0" borderId="5" xfId="2" applyNumberFormat="1" applyFont="1" applyBorder="1" applyAlignment="1">
      <alignment horizontal="center"/>
    </xf>
    <xf numFmtId="171" fontId="0" fillId="0" borderId="9" xfId="1" applyNumberFormat="1" applyFont="1" applyBorder="1"/>
    <xf numFmtId="1" fontId="53" fillId="0" borderId="0" xfId="1" applyNumberFormat="1" applyFont="1" applyBorder="1" applyAlignment="1"/>
    <xf numFmtId="184" fontId="1" fillId="0" borderId="0" xfId="1" applyNumberFormat="1"/>
    <xf numFmtId="165" fontId="32" fillId="0" borderId="0" xfId="2" applyNumberFormat="1" applyFont="1" applyAlignment="1">
      <alignment horizontal="center"/>
    </xf>
    <xf numFmtId="174" fontId="33" fillId="0" borderId="0" xfId="0" applyNumberFormat="1" applyFont="1" applyAlignment="1">
      <alignment horizontal="right"/>
    </xf>
    <xf numFmtId="0" fontId="33" fillId="0" borderId="0" xfId="0" applyFont="1" applyBorder="1" applyAlignment="1">
      <alignment horizontal="right"/>
    </xf>
    <xf numFmtId="174" fontId="48" fillId="0" borderId="0" xfId="2" applyNumberFormat="1" applyFont="1" applyBorder="1" applyAlignment="1">
      <alignment horizontal="right"/>
    </xf>
    <xf numFmtId="0" fontId="22" fillId="0" borderId="0" xfId="0" applyFont="1" applyBorder="1" applyAlignment="1">
      <alignment horizontal="right"/>
    </xf>
    <xf numFmtId="174" fontId="22" fillId="0" borderId="0" xfId="2" applyNumberFormat="1" applyFont="1" applyBorder="1" applyAlignment="1">
      <alignment horizontal="right"/>
    </xf>
    <xf numFmtId="174" fontId="22" fillId="0" borderId="0" xfId="2" applyNumberFormat="1" applyFont="1" applyBorder="1"/>
    <xf numFmtId="174" fontId="33" fillId="0" borderId="0" xfId="0" applyNumberFormat="1" applyFont="1"/>
    <xf numFmtId="0" fontId="65" fillId="0" borderId="0" xfId="0" applyFont="1" applyBorder="1"/>
    <xf numFmtId="0" fontId="43" fillId="0" borderId="0" xfId="0" applyFont="1"/>
    <xf numFmtId="5" fontId="1" fillId="0" borderId="0" xfId="2" applyNumberFormat="1" applyAlignment="1">
      <alignment horizontal="right"/>
    </xf>
    <xf numFmtId="9" fontId="0" fillId="0" borderId="5" xfId="0" applyNumberFormat="1" applyBorder="1" applyAlignment="1">
      <alignment horizontal="center"/>
    </xf>
    <xf numFmtId="43" fontId="39" fillId="0" borderId="0" xfId="0" applyNumberFormat="1" applyFont="1" applyBorder="1"/>
    <xf numFmtId="171" fontId="39" fillId="0" borderId="0" xfId="0" applyNumberFormat="1" applyFont="1" applyBorder="1"/>
    <xf numFmtId="188" fontId="1" fillId="0" borderId="0" xfId="1" applyNumberFormat="1"/>
    <xf numFmtId="5" fontId="0" fillId="0" borderId="0" xfId="0" applyNumberFormat="1" applyAlignment="1">
      <alignment horizontal="right"/>
    </xf>
    <xf numFmtId="5" fontId="0" fillId="0" borderId="0" xfId="0" applyNumberFormat="1" applyAlignment="1">
      <alignment horizontal="left"/>
    </xf>
    <xf numFmtId="174" fontId="1" fillId="0" borderId="5" xfId="2" applyNumberFormat="1" applyBorder="1" applyAlignment="1">
      <alignment horizontal="center"/>
    </xf>
    <xf numFmtId="37" fontId="16" fillId="0" borderId="0" xfId="1" applyNumberFormat="1" applyFont="1"/>
    <xf numFmtId="37" fontId="29" fillId="0" borderId="0" xfId="1" applyNumberFormat="1" applyFont="1"/>
    <xf numFmtId="174" fontId="17" fillId="0" borderId="0" xfId="2" applyNumberFormat="1" applyFont="1" applyBorder="1"/>
    <xf numFmtId="173" fontId="18" fillId="0" borderId="0" xfId="1" applyNumberFormat="1" applyFont="1"/>
    <xf numFmtId="167" fontId="13" fillId="0" borderId="5" xfId="3" applyNumberFormat="1" applyFont="1" applyBorder="1" applyAlignment="1">
      <alignment horizontal="center"/>
    </xf>
    <xf numFmtId="37" fontId="47" fillId="0" borderId="0" xfId="2" applyNumberFormat="1" applyFont="1" applyAlignment="1">
      <alignment horizontal="right"/>
    </xf>
    <xf numFmtId="37" fontId="47" fillId="0" borderId="18" xfId="2" applyNumberFormat="1" applyFont="1" applyBorder="1" applyAlignment="1">
      <alignment horizontal="right"/>
    </xf>
    <xf numFmtId="175" fontId="38" fillId="0" borderId="0" xfId="2" applyNumberFormat="1" applyFont="1" applyBorder="1"/>
    <xf numFmtId="176" fontId="38" fillId="0" borderId="0" xfId="1" applyNumberFormat="1" applyFont="1" applyBorder="1"/>
    <xf numFmtId="175" fontId="66" fillId="0" borderId="4" xfId="2" applyNumberFormat="1" applyFont="1" applyBorder="1"/>
    <xf numFmtId="176" fontId="46" fillId="0" borderId="0" xfId="1" applyNumberFormat="1" applyFont="1" applyBorder="1"/>
    <xf numFmtId="175" fontId="49" fillId="0" borderId="0" xfId="2" applyNumberFormat="1" applyFont="1" applyBorder="1"/>
    <xf numFmtId="2" fontId="38" fillId="0" borderId="0" xfId="0" applyNumberFormat="1" applyFont="1" applyBorder="1"/>
    <xf numFmtId="178" fontId="38" fillId="0" borderId="0" xfId="1" applyNumberFormat="1" applyFont="1" applyBorder="1"/>
    <xf numFmtId="164" fontId="38" fillId="0" borderId="0" xfId="2" applyNumberFormat="1" applyFont="1" applyBorder="1"/>
    <xf numFmtId="0" fontId="38" fillId="0" borderId="0" xfId="0" applyFont="1" applyBorder="1"/>
    <xf numFmtId="172" fontId="38" fillId="0" borderId="0" xfId="1" applyNumberFormat="1" applyFont="1" applyBorder="1"/>
    <xf numFmtId="0" fontId="45" fillId="0" borderId="0" xfId="0" applyFont="1" applyBorder="1"/>
    <xf numFmtId="170" fontId="38" fillId="0" borderId="0" xfId="1" applyNumberFormat="1" applyFont="1" applyBorder="1"/>
    <xf numFmtId="176" fontId="38" fillId="0" borderId="18" xfId="1" applyNumberFormat="1" applyFont="1" applyBorder="1"/>
    <xf numFmtId="176" fontId="46" fillId="0" borderId="18" xfId="1" applyNumberFormat="1" applyFont="1" applyBorder="1"/>
    <xf numFmtId="178" fontId="46" fillId="0" borderId="18" xfId="1" applyNumberFormat="1" applyFont="1" applyBorder="1"/>
    <xf numFmtId="2" fontId="38" fillId="0" borderId="18" xfId="0" applyNumberFormat="1" applyFont="1" applyBorder="1"/>
    <xf numFmtId="172" fontId="38" fillId="0" borderId="18" xfId="1" applyNumberFormat="1" applyFont="1" applyBorder="1"/>
    <xf numFmtId="0" fontId="45" fillId="0" borderId="18" xfId="0" applyFont="1" applyBorder="1"/>
    <xf numFmtId="170" fontId="38" fillId="0" borderId="18" xfId="1" applyNumberFormat="1" applyFont="1" applyBorder="1"/>
    <xf numFmtId="0" fontId="66" fillId="0" borderId="0" xfId="0" applyFont="1"/>
    <xf numFmtId="175" fontId="66" fillId="0" borderId="0" xfId="2" applyNumberFormat="1" applyFont="1"/>
    <xf numFmtId="175" fontId="66" fillId="0" borderId="18" xfId="2" applyNumberFormat="1" applyFont="1" applyBorder="1"/>
    <xf numFmtId="174" fontId="13" fillId="0" borderId="0" xfId="2" applyNumberFormat="1" applyFont="1" applyBorder="1"/>
    <xf numFmtId="174" fontId="18" fillId="0" borderId="0" xfId="2" applyNumberFormat="1" applyFont="1" applyBorder="1"/>
    <xf numFmtId="175" fontId="66" fillId="0" borderId="22" xfId="2" applyNumberFormat="1" applyFont="1" applyBorder="1"/>
    <xf numFmtId="175" fontId="66" fillId="0" borderId="0" xfId="2" applyNumberFormat="1" applyFont="1" applyBorder="1"/>
    <xf numFmtId="43" fontId="1" fillId="0" borderId="0" xfId="1" applyNumberFormat="1" applyFill="1"/>
    <xf numFmtId="43" fontId="0" fillId="0" borderId="0" xfId="0" applyNumberFormat="1" applyBorder="1"/>
    <xf numFmtId="0" fontId="0" fillId="0" borderId="0" xfId="0" applyAlignment="1">
      <alignment wrapText="1"/>
    </xf>
    <xf numFmtId="0" fontId="44" fillId="0" borderId="0" xfId="0" applyFont="1" applyBorder="1" applyAlignment="1"/>
    <xf numFmtId="0" fontId="35" fillId="0" borderId="0" xfId="0" applyFont="1" applyBorder="1" applyAlignment="1"/>
    <xf numFmtId="165" fontId="0" fillId="0" borderId="13" xfId="2" applyNumberFormat="1" applyFont="1" applyBorder="1"/>
    <xf numFmtId="174" fontId="0" fillId="0" borderId="10" xfId="2" applyNumberFormat="1" applyFont="1" applyBorder="1" applyAlignment="1">
      <alignment wrapText="1"/>
    </xf>
    <xf numFmtId="174" fontId="0" fillId="0" borderId="6" xfId="2" applyNumberFormat="1" applyFont="1" applyBorder="1" applyAlignment="1">
      <alignment wrapText="1"/>
    </xf>
    <xf numFmtId="170" fontId="0" fillId="0" borderId="0" xfId="0" applyNumberFormat="1"/>
    <xf numFmtId="174" fontId="0" fillId="0" borderId="13" xfId="2" applyNumberFormat="1" applyFont="1" applyBorder="1"/>
    <xf numFmtId="174" fontId="0" fillId="0" borderId="13" xfId="0" applyNumberFormat="1" applyBorder="1"/>
    <xf numFmtId="171" fontId="2" fillId="0" borderId="0" xfId="0" applyNumberFormat="1" applyFont="1" applyBorder="1"/>
    <xf numFmtId="177" fontId="30" fillId="0" borderId="0" xfId="1" applyNumberFormat="1" applyFont="1"/>
    <xf numFmtId="171" fontId="18" fillId="0" borderId="0" xfId="1" applyNumberFormat="1" applyFont="1"/>
    <xf numFmtId="177" fontId="18" fillId="0" borderId="0" xfId="1" applyNumberFormat="1" applyFont="1"/>
    <xf numFmtId="173" fontId="18" fillId="0" borderId="0" xfId="1" applyNumberFormat="1" applyFont="1" applyBorder="1"/>
    <xf numFmtId="174" fontId="18" fillId="0" borderId="0" xfId="2" applyNumberFormat="1" applyFont="1"/>
    <xf numFmtId="5" fontId="18" fillId="0" borderId="0" xfId="2" applyNumberFormat="1" applyFont="1" applyAlignment="1">
      <alignment horizontal="right"/>
    </xf>
    <xf numFmtId="171" fontId="0" fillId="0" borderId="0" xfId="1" quotePrefix="1" applyNumberFormat="1" applyFont="1"/>
    <xf numFmtId="0" fontId="13" fillId="0" borderId="0" xfId="0" applyFont="1" applyBorder="1" applyAlignment="1">
      <alignment horizontal="center"/>
    </xf>
    <xf numFmtId="0" fontId="15" fillId="0" borderId="0" xfId="0" applyFont="1" applyBorder="1" applyAlignment="1">
      <alignment horizontal="center"/>
    </xf>
    <xf numFmtId="165" fontId="0" fillId="4" borderId="0" xfId="0" applyNumberFormat="1" applyFill="1" applyBorder="1"/>
    <xf numFmtId="165" fontId="13" fillId="4" borderId="0" xfId="0" applyNumberFormat="1" applyFont="1" applyFill="1" applyBorder="1"/>
    <xf numFmtId="165" fontId="16" fillId="4" borderId="0" xfId="0" applyNumberFormat="1" applyFont="1" applyFill="1" applyBorder="1"/>
    <xf numFmtId="167" fontId="16" fillId="4" borderId="0" xfId="3" applyNumberFormat="1" applyFont="1" applyFill="1" applyBorder="1"/>
    <xf numFmtId="165" fontId="16" fillId="0" borderId="0" xfId="0" applyNumberFormat="1" applyFont="1" applyBorder="1"/>
    <xf numFmtId="165" fontId="0" fillId="0" borderId="0" xfId="0" applyNumberFormat="1" applyBorder="1"/>
    <xf numFmtId="167" fontId="0" fillId="0" borderId="0" xfId="3" applyNumberFormat="1" applyFont="1" applyBorder="1"/>
    <xf numFmtId="37" fontId="0" fillId="0" borderId="0" xfId="0" applyNumberFormat="1" applyBorder="1"/>
    <xf numFmtId="164" fontId="13" fillId="0" borderId="0" xfId="2" applyNumberFormat="1" applyFont="1"/>
    <xf numFmtId="174" fontId="13" fillId="0" borderId="0" xfId="2" applyNumberFormat="1" applyFont="1"/>
    <xf numFmtId="173" fontId="13" fillId="0" borderId="0" xfId="1" applyNumberFormat="1" applyFont="1" applyBorder="1"/>
    <xf numFmtId="173" fontId="13" fillId="0" borderId="0" xfId="1" applyNumberFormat="1" applyFont="1"/>
    <xf numFmtId="165" fontId="18" fillId="0" borderId="0" xfId="2" applyNumberFormat="1" applyFont="1" applyBorder="1"/>
    <xf numFmtId="165" fontId="13" fillId="0" borderId="0" xfId="2" applyNumberFormat="1" applyFont="1" applyAlignment="1">
      <alignment horizontal="right"/>
    </xf>
    <xf numFmtId="0" fontId="13" fillId="0" borderId="0" xfId="0" applyFont="1" applyAlignment="1">
      <alignment horizontal="right"/>
    </xf>
    <xf numFmtId="5" fontId="13" fillId="0" borderId="0" xfId="0" applyNumberFormat="1" applyFont="1"/>
    <xf numFmtId="5" fontId="13" fillId="0" borderId="0" xfId="2" applyNumberFormat="1" applyFont="1" applyAlignment="1">
      <alignment horizontal="right"/>
    </xf>
    <xf numFmtId="165" fontId="0" fillId="0" borderId="23" xfId="0" applyNumberFormat="1" applyBorder="1"/>
    <xf numFmtId="169" fontId="0" fillId="0" borderId="23" xfId="0" applyNumberFormat="1" applyBorder="1"/>
    <xf numFmtId="0" fontId="22" fillId="0" borderId="17" xfId="0" applyFont="1" applyBorder="1" applyAlignment="1">
      <alignment horizontal="center"/>
    </xf>
    <xf numFmtId="174" fontId="18" fillId="0" borderId="0" xfId="0" applyNumberFormat="1" applyFont="1"/>
    <xf numFmtId="0" fontId="0" fillId="0" borderId="0" xfId="0" applyBorder="1" applyAlignment="1">
      <alignment horizontal="right"/>
    </xf>
    <xf numFmtId="0" fontId="0" fillId="0" borderId="12" xfId="0" applyBorder="1" applyAlignment="1">
      <alignment horizontal="left"/>
    </xf>
    <xf numFmtId="169" fontId="0" fillId="0" borderId="0" xfId="0" applyNumberFormat="1"/>
    <xf numFmtId="165" fontId="1" fillId="0" borderId="20" xfId="2" applyNumberFormat="1" applyBorder="1"/>
    <xf numFmtId="165" fontId="0" fillId="0" borderId="20" xfId="0" applyNumberFormat="1" applyBorder="1"/>
    <xf numFmtId="165" fontId="1" fillId="0" borderId="23" xfId="2" applyNumberFormat="1" applyBorder="1"/>
    <xf numFmtId="169" fontId="0" fillId="0" borderId="0" xfId="0" applyNumberFormat="1" applyAlignment="1">
      <alignment horizontal="center"/>
    </xf>
    <xf numFmtId="1" fontId="18" fillId="0" borderId="12" xfId="0" applyNumberFormat="1" applyFont="1" applyBorder="1"/>
    <xf numFmtId="0" fontId="0" fillId="0" borderId="23" xfId="0" applyBorder="1"/>
    <xf numFmtId="169" fontId="0" fillId="0" borderId="21" xfId="0" applyNumberFormat="1" applyBorder="1"/>
    <xf numFmtId="1" fontId="0" fillId="0" borderId="12" xfId="0" applyNumberFormat="1" applyBorder="1"/>
    <xf numFmtId="1" fontId="0" fillId="0" borderId="10" xfId="0" applyNumberFormat="1" applyBorder="1"/>
    <xf numFmtId="1" fontId="0" fillId="0" borderId="0" xfId="0" applyNumberFormat="1"/>
    <xf numFmtId="0" fontId="0" fillId="2" borderId="13" xfId="0" applyFill="1" applyBorder="1"/>
    <xf numFmtId="169" fontId="18" fillId="2" borderId="12" xfId="0" applyNumberFormat="1" applyFont="1" applyFill="1" applyBorder="1"/>
    <xf numFmtId="169" fontId="0" fillId="0" borderId="12" xfId="0" applyNumberFormat="1" applyBorder="1"/>
    <xf numFmtId="169" fontId="0" fillId="0" borderId="10" xfId="0" applyNumberFormat="1" applyBorder="1"/>
    <xf numFmtId="169" fontId="18" fillId="0" borderId="12" xfId="0" applyNumberFormat="1" applyFont="1" applyBorder="1"/>
    <xf numFmtId="17" fontId="2" fillId="0" borderId="5" xfId="0" applyNumberFormat="1" applyFont="1" applyBorder="1"/>
    <xf numFmtId="0" fontId="2" fillId="0" borderId="23" xfId="0" applyFont="1" applyBorder="1"/>
    <xf numFmtId="165" fontId="2" fillId="0" borderId="23" xfId="0" applyNumberFormat="1" applyFont="1" applyBorder="1"/>
    <xf numFmtId="165" fontId="6" fillId="0" borderId="23" xfId="2" applyNumberFormat="1" applyFont="1" applyBorder="1"/>
    <xf numFmtId="37" fontId="2" fillId="0" borderId="23" xfId="1" applyNumberFormat="1" applyFont="1" applyBorder="1" applyAlignment="1">
      <alignment horizontal="center"/>
    </xf>
    <xf numFmtId="37" fontId="5" fillId="0" borderId="23" xfId="1" applyNumberFormat="1" applyFont="1" applyBorder="1" applyAlignment="1">
      <alignment horizontal="center"/>
    </xf>
    <xf numFmtId="37" fontId="2" fillId="0" borderId="23" xfId="2" applyNumberFormat="1" applyFont="1" applyBorder="1"/>
    <xf numFmtId="0" fontId="2" fillId="0" borderId="20" xfId="0" applyFont="1" applyBorder="1" applyAlignment="1">
      <alignment horizontal="center" wrapText="1"/>
    </xf>
    <xf numFmtId="37" fontId="2" fillId="0" borderId="21" xfId="1" applyNumberFormat="1" applyFont="1" applyBorder="1" applyAlignment="1">
      <alignment horizontal="center"/>
    </xf>
    <xf numFmtId="0" fontId="25" fillId="0" borderId="0" xfId="0" applyFont="1"/>
    <xf numFmtId="171" fontId="13" fillId="0" borderId="6" xfId="1" applyNumberFormat="1" applyFont="1" applyBorder="1"/>
    <xf numFmtId="165" fontId="18" fillId="0" borderId="0" xfId="2" applyNumberFormat="1" applyFont="1"/>
    <xf numFmtId="197" fontId="2" fillId="0" borderId="2" xfId="0" applyNumberFormat="1" applyFont="1" applyBorder="1"/>
    <xf numFmtId="174" fontId="33" fillId="0" borderId="0" xfId="2" applyNumberFormat="1" applyFont="1"/>
    <xf numFmtId="10" fontId="0" fillId="0" borderId="0" xfId="3" applyNumberFormat="1" applyFont="1" applyBorder="1"/>
    <xf numFmtId="9" fontId="0" fillId="0" borderId="0" xfId="3" applyFont="1" applyBorder="1"/>
    <xf numFmtId="174" fontId="1" fillId="0" borderId="0" xfId="2" applyNumberFormat="1"/>
    <xf numFmtId="9" fontId="1" fillId="0" borderId="0" xfId="3" applyAlignment="1">
      <alignment horizontal="left"/>
    </xf>
    <xf numFmtId="0" fontId="22" fillId="0" borderId="17" xfId="0" applyFont="1" applyBorder="1" applyAlignment="1">
      <alignment horizontal="right"/>
    </xf>
    <xf numFmtId="174" fontId="1" fillId="0" borderId="0" xfId="2" applyNumberFormat="1" applyBorder="1"/>
    <xf numFmtId="165" fontId="1" fillId="0" borderId="0" xfId="2" applyNumberFormat="1" applyAlignment="1">
      <alignment horizontal="center"/>
    </xf>
    <xf numFmtId="49" fontId="0" fillId="0" borderId="0" xfId="0" applyNumberFormat="1" applyAlignment="1">
      <alignment horizontal="right"/>
    </xf>
    <xf numFmtId="0" fontId="7" fillId="0" borderId="0" xfId="0" applyFont="1" applyAlignment="1">
      <alignment horizontal="right" wrapText="1"/>
    </xf>
    <xf numFmtId="37" fontId="2" fillId="0" borderId="23" xfId="1" applyNumberFormat="1" applyFont="1" applyBorder="1" applyAlignment="1">
      <alignment horizontal="right"/>
    </xf>
    <xf numFmtId="37" fontId="6" fillId="0" borderId="23" xfId="2" applyNumberFormat="1" applyFont="1" applyBorder="1" applyAlignment="1">
      <alignment horizontal="right"/>
    </xf>
    <xf numFmtId="0" fontId="2" fillId="0" borderId="0" xfId="0" applyFont="1" applyBorder="1" applyAlignment="1">
      <alignment horizontal="right"/>
    </xf>
    <xf numFmtId="0" fontId="40" fillId="0" borderId="17" xfId="0" applyFont="1" applyBorder="1" applyAlignment="1">
      <alignment horizontal="right"/>
    </xf>
    <xf numFmtId="0" fontId="7" fillId="0" borderId="0" xfId="0" applyFont="1" applyAlignment="1">
      <alignment horizontal="right"/>
    </xf>
    <xf numFmtId="0" fontId="44" fillId="0" borderId="17" xfId="0" applyFont="1" applyBorder="1" applyAlignment="1">
      <alignment horizontal="right"/>
    </xf>
    <xf numFmtId="1" fontId="13" fillId="0" borderId="5" xfId="1" applyNumberFormat="1" applyFont="1" applyBorder="1" applyAlignment="1">
      <alignment horizontal="center"/>
    </xf>
    <xf numFmtId="5" fontId="67" fillId="0" borderId="0" xfId="2" applyNumberFormat="1" applyFont="1"/>
    <xf numFmtId="10" fontId="13" fillId="0" borderId="0" xfId="0" applyNumberFormat="1" applyFont="1"/>
    <xf numFmtId="0" fontId="25" fillId="0" borderId="17" xfId="0" applyFont="1" applyBorder="1" applyAlignment="1">
      <alignment horizontal="right"/>
    </xf>
    <xf numFmtId="0" fontId="33" fillId="0" borderId="0" xfId="0" applyFont="1" applyBorder="1" applyAlignment="1">
      <alignment horizontal="center"/>
    </xf>
    <xf numFmtId="0" fontId="33" fillId="0" borderId="0" xfId="0" applyFont="1" applyFill="1" applyBorder="1" applyAlignment="1">
      <alignment horizontal="center"/>
    </xf>
    <xf numFmtId="37" fontId="33" fillId="0" borderId="0" xfId="2" applyNumberFormat="1" applyFont="1" applyBorder="1"/>
    <xf numFmtId="9" fontId="33" fillId="0" borderId="0" xfId="0" applyNumberFormat="1" applyFont="1" applyBorder="1" applyAlignment="1">
      <alignment horizontal="center"/>
    </xf>
    <xf numFmtId="5" fontId="22" fillId="0" borderId="0" xfId="2" applyNumberFormat="1" applyFont="1"/>
    <xf numFmtId="0" fontId="22" fillId="0" borderId="0" xfId="0" applyFont="1" applyBorder="1" applyAlignment="1">
      <alignment horizontal="center"/>
    </xf>
    <xf numFmtId="5" fontId="13" fillId="0" borderId="0" xfId="1" applyNumberFormat="1" applyFont="1"/>
    <xf numFmtId="0" fontId="23" fillId="0" borderId="0" xfId="0" applyFont="1" applyAlignment="1">
      <alignment horizontal="right"/>
    </xf>
    <xf numFmtId="191" fontId="33" fillId="0" borderId="0" xfId="2" applyNumberFormat="1" applyFont="1"/>
    <xf numFmtId="1" fontId="33" fillId="0" borderId="0" xfId="0" applyNumberFormat="1" applyFont="1" applyBorder="1" applyAlignment="1">
      <alignment horizontal="right"/>
    </xf>
    <xf numFmtId="1" fontId="33" fillId="0" borderId="0" xfId="1" applyNumberFormat="1" applyFont="1" applyBorder="1" applyAlignment="1">
      <alignment horizontal="right"/>
    </xf>
    <xf numFmtId="1" fontId="51" fillId="0" borderId="0" xfId="1" applyNumberFormat="1" applyFont="1" applyBorder="1" applyAlignment="1">
      <alignment horizontal="right"/>
    </xf>
    <xf numFmtId="177" fontId="15" fillId="0" borderId="0" xfId="1" applyNumberFormat="1" applyFont="1" applyBorder="1"/>
    <xf numFmtId="177" fontId="30" fillId="0" borderId="0" xfId="1" applyNumberFormat="1" applyFont="1" applyBorder="1"/>
    <xf numFmtId="174" fontId="0" fillId="0" borderId="0" xfId="1" applyNumberFormat="1" applyFont="1"/>
    <xf numFmtId="171" fontId="15" fillId="0" borderId="0" xfId="0" applyNumberFormat="1" applyFont="1"/>
    <xf numFmtId="165" fontId="1" fillId="4" borderId="0" xfId="2" applyNumberFormat="1" applyFill="1" applyAlignment="1">
      <alignment horizontal="right"/>
    </xf>
    <xf numFmtId="43" fontId="1" fillId="4" borderId="0" xfId="1" applyFill="1" applyAlignment="1">
      <alignment horizontal="right"/>
    </xf>
    <xf numFmtId="173" fontId="0" fillId="4" borderId="0" xfId="0" applyNumberFormat="1" applyFill="1" applyBorder="1" applyAlignment="1">
      <alignment horizontal="right"/>
    </xf>
    <xf numFmtId="177" fontId="51" fillId="0" borderId="0" xfId="1" applyNumberFormat="1" applyFont="1" applyBorder="1" applyAlignment="1">
      <alignment horizontal="right"/>
    </xf>
    <xf numFmtId="177" fontId="1" fillId="0" borderId="0" xfId="1" applyNumberFormat="1" applyAlignment="1">
      <alignment horizontal="right"/>
    </xf>
    <xf numFmtId="177" fontId="18" fillId="0" borderId="0" xfId="1" applyNumberFormat="1" applyFont="1" applyAlignment="1">
      <alignment horizontal="right"/>
    </xf>
    <xf numFmtId="174" fontId="1" fillId="0" borderId="0" xfId="1" applyNumberFormat="1"/>
    <xf numFmtId="0" fontId="18" fillId="6" borderId="16" xfId="0" applyFont="1" applyFill="1" applyBorder="1" applyAlignment="1">
      <alignment horizontal="center"/>
    </xf>
    <xf numFmtId="8" fontId="0" fillId="4" borderId="0" xfId="0" applyNumberFormat="1" applyFill="1" applyAlignment="1">
      <alignment horizontal="right"/>
    </xf>
    <xf numFmtId="43" fontId="0" fillId="6" borderId="0" xfId="1" applyFont="1" applyFill="1"/>
    <xf numFmtId="40" fontId="0" fillId="4" borderId="0" xfId="0" applyNumberFormat="1" applyFill="1" applyAlignment="1">
      <alignment horizontal="right"/>
    </xf>
    <xf numFmtId="38" fontId="0" fillId="4" borderId="0" xfId="0" applyNumberFormat="1" applyFill="1" applyAlignment="1">
      <alignment horizontal="right"/>
    </xf>
    <xf numFmtId="40" fontId="0" fillId="4" borderId="6" xfId="0" applyNumberFormat="1" applyFill="1" applyBorder="1" applyAlignment="1">
      <alignment horizontal="right"/>
    </xf>
    <xf numFmtId="38" fontId="0" fillId="4" borderId="6" xfId="0" applyNumberFormat="1" applyFill="1" applyBorder="1" applyAlignment="1">
      <alignment horizontal="right"/>
    </xf>
    <xf numFmtId="173" fontId="0" fillId="4" borderId="6" xfId="0" applyNumberFormat="1" applyFill="1" applyBorder="1" applyAlignment="1">
      <alignment horizontal="right"/>
    </xf>
    <xf numFmtId="0" fontId="18" fillId="4" borderId="0" xfId="0" applyFont="1" applyFill="1"/>
    <xf numFmtId="0" fontId="0" fillId="4" borderId="0" xfId="0" applyFill="1" applyAlignment="1">
      <alignment horizontal="right"/>
    </xf>
    <xf numFmtId="38" fontId="1" fillId="4" borderId="8" xfId="1" applyNumberFormat="1" applyFill="1" applyBorder="1" applyAlignment="1">
      <alignment horizontal="right"/>
    </xf>
    <xf numFmtId="2" fontId="0" fillId="4" borderId="8" xfId="0" applyNumberFormat="1" applyFill="1" applyBorder="1" applyAlignment="1">
      <alignment horizontal="center"/>
    </xf>
    <xf numFmtId="38" fontId="1" fillId="4" borderId="0" xfId="1" applyNumberFormat="1" applyFill="1" applyBorder="1" applyAlignment="1">
      <alignment horizontal="right"/>
    </xf>
    <xf numFmtId="8" fontId="0" fillId="4" borderId="0" xfId="0" applyNumberFormat="1" applyFill="1" applyAlignment="1">
      <alignment horizontal="center"/>
    </xf>
    <xf numFmtId="40" fontId="0" fillId="4" borderId="0" xfId="0" applyNumberFormat="1" applyFill="1" applyAlignment="1">
      <alignment horizontal="center"/>
    </xf>
    <xf numFmtId="40" fontId="0" fillId="4" borderId="6" xfId="0" applyNumberFormat="1" applyFill="1" applyBorder="1" applyAlignment="1">
      <alignment horizontal="center"/>
    </xf>
    <xf numFmtId="43" fontId="1" fillId="0" borderId="0" xfId="1" applyNumberFormat="1"/>
    <xf numFmtId="0" fontId="26" fillId="0" borderId="0" xfId="0" applyFont="1" applyAlignment="1">
      <alignment horizontal="center"/>
    </xf>
    <xf numFmtId="166" fontId="22" fillId="0" borderId="0" xfId="0" applyNumberFormat="1" applyFont="1" applyAlignment="1">
      <alignment horizontal="center"/>
    </xf>
    <xf numFmtId="0" fontId="22" fillId="0" borderId="0" xfId="0" applyFont="1" applyAlignment="1">
      <alignment horizontal="center"/>
    </xf>
    <xf numFmtId="0" fontId="44" fillId="0" borderId="17" xfId="0" applyFont="1" applyBorder="1" applyAlignment="1">
      <alignment horizontal="right"/>
    </xf>
    <xf numFmtId="0" fontId="55" fillId="0" borderId="0" xfId="0" applyFont="1" applyAlignment="1">
      <alignment horizontal="right" vertical="center"/>
    </xf>
    <xf numFmtId="0" fontId="50" fillId="0" borderId="17" xfId="0" applyFont="1" applyBorder="1" applyAlignment="1">
      <alignment horizontal="center"/>
    </xf>
    <xf numFmtId="171" fontId="18" fillId="0" borderId="13" xfId="1" applyNumberFormat="1" applyFont="1" applyBorder="1" applyAlignment="1">
      <alignment horizontal="center" wrapText="1"/>
    </xf>
    <xf numFmtId="0" fontId="18" fillId="0" borderId="6" xfId="0" applyFont="1" applyBorder="1" applyAlignment="1">
      <alignment horizontal="center"/>
    </xf>
    <xf numFmtId="0" fontId="18" fillId="0" borderId="8" xfId="0" applyFont="1" applyBorder="1" applyAlignment="1">
      <alignment horizontal="center"/>
    </xf>
    <xf numFmtId="0" fontId="18" fillId="0" borderId="9" xfId="0" applyFont="1" applyBorder="1" applyAlignment="1">
      <alignment horizontal="center"/>
    </xf>
    <xf numFmtId="0" fontId="18" fillId="0" borderId="0" xfId="0" applyFont="1" applyBorder="1" applyAlignment="1">
      <alignment horizontal="center" wrapText="1"/>
    </xf>
    <xf numFmtId="0" fontId="18" fillId="0" borderId="6" xfId="0" applyFont="1" applyBorder="1" applyAlignment="1">
      <alignment horizontal="center" wrapText="1"/>
    </xf>
    <xf numFmtId="0" fontId="18" fillId="0" borderId="11" xfId="0" applyFont="1" applyBorder="1" applyAlignment="1">
      <alignment horizontal="center" wrapText="1"/>
    </xf>
    <xf numFmtId="0" fontId="18" fillId="0" borderId="0" xfId="0" applyFont="1" applyBorder="1" applyAlignment="1">
      <alignment horizontal="right"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2" fillId="0" borderId="17" xfId="0" applyFont="1" applyBorder="1" applyAlignment="1">
      <alignment horizontal="center"/>
    </xf>
    <xf numFmtId="0" fontId="44" fillId="0" borderId="0" xfId="0" applyFont="1" applyAlignment="1">
      <alignment horizontal="left" vertic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161925</xdr:colOff>
      <xdr:row>17</xdr:row>
      <xdr:rowOff>171450</xdr:rowOff>
    </xdr:from>
    <xdr:to>
      <xdr:col>5</xdr:col>
      <xdr:colOff>552450</xdr:colOff>
      <xdr:row>17</xdr:row>
      <xdr:rowOff>171450</xdr:rowOff>
    </xdr:to>
    <xdr:sp macro="" textlink="">
      <xdr:nvSpPr>
        <xdr:cNvPr id="8312" name="Line 120">
          <a:extLst>
            <a:ext uri="{FF2B5EF4-FFF2-40B4-BE49-F238E27FC236}">
              <a16:creationId xmlns:a16="http://schemas.microsoft.com/office/drawing/2014/main" id="{48FF2E8F-0B9A-CB42-4D76-B4D41543ABE1}"/>
            </a:ext>
          </a:extLst>
        </xdr:cNvPr>
        <xdr:cNvSpPr>
          <a:spLocks noChangeShapeType="1"/>
        </xdr:cNvSpPr>
      </xdr:nvSpPr>
      <xdr:spPr bwMode="auto">
        <a:xfrm>
          <a:off x="3343275" y="3590925"/>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161925</xdr:colOff>
      <xdr:row>17</xdr:row>
      <xdr:rowOff>171450</xdr:rowOff>
    </xdr:from>
    <xdr:to>
      <xdr:col>9</xdr:col>
      <xdr:colOff>552450</xdr:colOff>
      <xdr:row>17</xdr:row>
      <xdr:rowOff>171450</xdr:rowOff>
    </xdr:to>
    <xdr:sp macro="" textlink="">
      <xdr:nvSpPr>
        <xdr:cNvPr id="8313" name="Line 121">
          <a:extLst>
            <a:ext uri="{FF2B5EF4-FFF2-40B4-BE49-F238E27FC236}">
              <a16:creationId xmlns:a16="http://schemas.microsoft.com/office/drawing/2014/main" id="{705E1E7B-7895-068F-25AE-95B7753441F4}"/>
            </a:ext>
          </a:extLst>
        </xdr:cNvPr>
        <xdr:cNvSpPr>
          <a:spLocks noChangeShapeType="1"/>
        </xdr:cNvSpPr>
      </xdr:nvSpPr>
      <xdr:spPr bwMode="auto">
        <a:xfrm>
          <a:off x="6772275" y="3590925"/>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180975</xdr:colOff>
      <xdr:row>3</xdr:row>
      <xdr:rowOff>0</xdr:rowOff>
    </xdr:from>
    <xdr:to>
      <xdr:col>9</xdr:col>
      <xdr:colOff>247650</xdr:colOff>
      <xdr:row>23</xdr:row>
      <xdr:rowOff>104775</xdr:rowOff>
    </xdr:to>
    <xdr:sp macro="" textlink="">
      <xdr:nvSpPr>
        <xdr:cNvPr id="40963" name="Rectangle 3">
          <a:extLst>
            <a:ext uri="{FF2B5EF4-FFF2-40B4-BE49-F238E27FC236}">
              <a16:creationId xmlns:a16="http://schemas.microsoft.com/office/drawing/2014/main" id="{BC486E4A-9586-ADF0-DAE9-3C2BB4DD91B7}"/>
            </a:ext>
          </a:extLst>
        </xdr:cNvPr>
        <xdr:cNvSpPr>
          <a:spLocks noChangeArrowheads="1"/>
        </xdr:cNvSpPr>
      </xdr:nvSpPr>
      <xdr:spPr bwMode="auto">
        <a:xfrm>
          <a:off x="5353050" y="628650"/>
          <a:ext cx="781050" cy="33432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180975</xdr:colOff>
      <xdr:row>4</xdr:row>
      <xdr:rowOff>66675</xdr:rowOff>
    </xdr:from>
    <xdr:to>
      <xdr:col>9</xdr:col>
      <xdr:colOff>247650</xdr:colOff>
      <xdr:row>35</xdr:row>
      <xdr:rowOff>123825</xdr:rowOff>
    </xdr:to>
    <xdr:sp macro="" textlink="">
      <xdr:nvSpPr>
        <xdr:cNvPr id="40093" name="Rectangle 157">
          <a:extLst>
            <a:ext uri="{FF2B5EF4-FFF2-40B4-BE49-F238E27FC236}">
              <a16:creationId xmlns:a16="http://schemas.microsoft.com/office/drawing/2014/main" id="{BDFD2732-B136-B934-D198-6A2AB14CA5AA}"/>
            </a:ext>
          </a:extLst>
        </xdr:cNvPr>
        <xdr:cNvSpPr>
          <a:spLocks noChangeArrowheads="1"/>
        </xdr:cNvSpPr>
      </xdr:nvSpPr>
      <xdr:spPr bwMode="auto">
        <a:xfrm>
          <a:off x="5876925" y="828675"/>
          <a:ext cx="781050" cy="50768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133350</xdr:colOff>
      <xdr:row>4</xdr:row>
      <xdr:rowOff>142875</xdr:rowOff>
    </xdr:from>
    <xdr:to>
      <xdr:col>9</xdr:col>
      <xdr:colOff>200025</xdr:colOff>
      <xdr:row>32</xdr:row>
      <xdr:rowOff>76200</xdr:rowOff>
    </xdr:to>
    <xdr:sp macro="" textlink="">
      <xdr:nvSpPr>
        <xdr:cNvPr id="26855" name="Rectangle 231">
          <a:extLst>
            <a:ext uri="{FF2B5EF4-FFF2-40B4-BE49-F238E27FC236}">
              <a16:creationId xmlns:a16="http://schemas.microsoft.com/office/drawing/2014/main" id="{AF572691-2804-3B36-EA30-90936EEF7679}"/>
            </a:ext>
          </a:extLst>
        </xdr:cNvPr>
        <xdr:cNvSpPr>
          <a:spLocks noChangeArrowheads="1"/>
        </xdr:cNvSpPr>
      </xdr:nvSpPr>
      <xdr:spPr bwMode="auto">
        <a:xfrm>
          <a:off x="5676900" y="904875"/>
          <a:ext cx="781050" cy="44672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180975</xdr:colOff>
      <xdr:row>3</xdr:row>
      <xdr:rowOff>0</xdr:rowOff>
    </xdr:from>
    <xdr:to>
      <xdr:col>9</xdr:col>
      <xdr:colOff>247650</xdr:colOff>
      <xdr:row>24</xdr:row>
      <xdr:rowOff>104775</xdr:rowOff>
    </xdr:to>
    <xdr:sp macro="" textlink="">
      <xdr:nvSpPr>
        <xdr:cNvPr id="19683" name="Rectangle 227">
          <a:extLst>
            <a:ext uri="{FF2B5EF4-FFF2-40B4-BE49-F238E27FC236}">
              <a16:creationId xmlns:a16="http://schemas.microsoft.com/office/drawing/2014/main" id="{A08D734D-F87C-5587-E84B-44B77E249DAA}"/>
            </a:ext>
          </a:extLst>
        </xdr:cNvPr>
        <xdr:cNvSpPr>
          <a:spLocks noChangeArrowheads="1"/>
        </xdr:cNvSpPr>
      </xdr:nvSpPr>
      <xdr:spPr bwMode="auto">
        <a:xfrm>
          <a:off x="5286375" y="628650"/>
          <a:ext cx="781050" cy="35052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43.bin"/><Relationship Id="rId4" Type="http://schemas.openxmlformats.org/officeDocument/2006/relationships/comments" Target="../comments8.xml"/></Relationships>
</file>

<file path=xl/worksheets/_rels/sheet4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8"/>
  <sheetViews>
    <sheetView topLeftCell="A3" workbookViewId="0">
      <selection activeCell="B33" sqref="B33"/>
    </sheetView>
  </sheetViews>
  <sheetFormatPr defaultRowHeight="12.75" x14ac:dyDescent="0.2"/>
  <cols>
    <col min="4" max="4" width="19.7109375" bestFit="1" customWidth="1"/>
  </cols>
  <sheetData>
    <row r="1" spans="1:12" ht="21" thickBot="1" x14ac:dyDescent="0.35">
      <c r="A1" s="365" t="s">
        <v>518</v>
      </c>
      <c r="B1" s="366"/>
      <c r="C1" s="366"/>
      <c r="D1" s="367"/>
      <c r="E1" s="367"/>
      <c r="F1" s="367"/>
      <c r="G1" s="360"/>
      <c r="H1" s="367"/>
      <c r="I1" s="367"/>
      <c r="J1" s="367"/>
      <c r="K1" s="360"/>
      <c r="L1" s="360"/>
    </row>
    <row r="7" spans="1:12" ht="20.25" x14ac:dyDescent="0.3">
      <c r="L7" s="369"/>
    </row>
    <row r="9" spans="1:12" ht="23.25" x14ac:dyDescent="0.35">
      <c r="D9" s="199"/>
    </row>
    <row r="10" spans="1:12" x14ac:dyDescent="0.2">
      <c r="D10" s="149"/>
    </row>
    <row r="11" spans="1:12" ht="27.75" x14ac:dyDescent="0.4">
      <c r="D11" s="200"/>
    </row>
    <row r="12" spans="1:12" ht="27.75" x14ac:dyDescent="0.4">
      <c r="D12" s="200"/>
    </row>
    <row r="13" spans="1:12" ht="27.75" x14ac:dyDescent="0.4">
      <c r="D13" s="200"/>
    </row>
    <row r="14" spans="1:12" ht="27.75" customHeight="1" x14ac:dyDescent="0.4">
      <c r="A14" s="819" t="s">
        <v>567</v>
      </c>
      <c r="B14" s="819"/>
      <c r="C14" s="819"/>
      <c r="D14" s="819"/>
      <c r="E14" s="819"/>
      <c r="F14" s="819"/>
      <c r="G14" s="819"/>
      <c r="H14" s="819"/>
      <c r="I14" s="819"/>
      <c r="J14" s="819"/>
      <c r="K14" s="819"/>
      <c r="L14" s="819"/>
    </row>
    <row r="15" spans="1:12" ht="27.75" x14ac:dyDescent="0.4">
      <c r="D15" s="200"/>
    </row>
    <row r="16" spans="1:12" ht="27.75" x14ac:dyDescent="0.4">
      <c r="D16" s="200"/>
    </row>
    <row r="18" spans="1:12" ht="27.75" x14ac:dyDescent="0.4">
      <c r="D18" s="200"/>
    </row>
    <row r="19" spans="1:12" ht="27.75" customHeight="1" x14ac:dyDescent="0.25">
      <c r="A19" s="821" t="s">
        <v>519</v>
      </c>
      <c r="B19" s="821"/>
      <c r="C19" s="821"/>
      <c r="D19" s="821"/>
      <c r="E19" s="821"/>
      <c r="F19" s="821"/>
      <c r="G19" s="821"/>
      <c r="H19" s="821"/>
      <c r="I19" s="821"/>
      <c r="J19" s="821"/>
      <c r="K19" s="821"/>
      <c r="L19" s="821"/>
    </row>
    <row r="25" spans="1:12" ht="18" x14ac:dyDescent="0.25">
      <c r="A25" s="820">
        <f ca="1">TODAY()</f>
        <v>36965</v>
      </c>
      <c r="B25" s="820"/>
      <c r="C25" s="820"/>
      <c r="D25" s="820"/>
      <c r="E25" s="820"/>
      <c r="F25" s="820"/>
      <c r="G25" s="820"/>
      <c r="H25" s="820"/>
      <c r="I25" s="820"/>
      <c r="J25" s="820"/>
      <c r="K25" s="820"/>
      <c r="L25" s="820"/>
    </row>
    <row r="26" spans="1:12" x14ac:dyDescent="0.2">
      <c r="D26" s="198"/>
    </row>
    <row r="38" spans="8:8" x14ac:dyDescent="0.2">
      <c r="H38" s="138"/>
    </row>
  </sheetData>
  <mergeCells count="3">
    <mergeCell ref="A14:L14"/>
    <mergeCell ref="A25:L25"/>
    <mergeCell ref="A19:L19"/>
  </mergeCells>
  <printOptions horizontalCentered="1"/>
  <pageMargins left="0.75" right="0.75" top="0.53" bottom="1" header="0.5" footer="0.5"/>
  <pageSetup orientation="landscape" verticalDpi="200" r:id="rId1"/>
  <headerFooter alignWithMargins="0">
    <oddFooter>&amp;L&amp;7&amp;D &amp;T&amp;C&amp;8&amp;P&amp;R&amp;7o:/Corpdev/North America/Raul/Ammonia/&amp;F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3"/>
  <sheetViews>
    <sheetView showGridLines="0" topLeftCell="A4" zoomScale="80" workbookViewId="0">
      <selection activeCell="I23" sqref="I23"/>
    </sheetView>
  </sheetViews>
  <sheetFormatPr defaultRowHeight="12.75" outlineLevelCol="1" x14ac:dyDescent="0.2"/>
  <cols>
    <col min="1" max="1" width="51.85546875" style="1" customWidth="1"/>
    <col min="2" max="2" width="12.140625" style="1" customWidth="1"/>
    <col min="3" max="3" width="12" style="1" customWidth="1"/>
    <col min="4" max="6" width="12.140625" style="1" customWidth="1"/>
    <col min="7" max="7" width="12.28515625" style="1" hidden="1" customWidth="1" outlineLevel="1"/>
    <col min="8" max="8" width="11.42578125" style="1" hidden="1" customWidth="1" outlineLevel="1"/>
    <col min="9" max="9" width="11.42578125" style="1" customWidth="1" collapsed="1"/>
    <col min="10" max="10" width="11.85546875" style="1" customWidth="1"/>
    <col min="11" max="13" width="13" style="1" bestFit="1" customWidth="1"/>
    <col min="14" max="16384" width="9.140625" style="1"/>
  </cols>
  <sheetData>
    <row r="1" spans="1:14" ht="27" thickBot="1" x14ac:dyDescent="0.45">
      <c r="A1" s="352" t="s">
        <v>518</v>
      </c>
      <c r="B1" s="345"/>
      <c r="C1" s="345"/>
      <c r="D1" s="346"/>
      <c r="E1" s="346"/>
      <c r="F1" s="346"/>
      <c r="G1" s="346"/>
      <c r="H1" s="346"/>
      <c r="I1" s="346"/>
      <c r="J1" s="346"/>
      <c r="K1" s="346"/>
      <c r="L1" s="346"/>
      <c r="M1" s="346"/>
      <c r="N1" s="772" t="s">
        <v>663</v>
      </c>
    </row>
    <row r="2" spans="1:14" ht="25.5" x14ac:dyDescent="0.35">
      <c r="A2" s="381"/>
      <c r="B2" s="382"/>
      <c r="C2" s="382"/>
      <c r="D2" s="25"/>
      <c r="E2" s="25"/>
      <c r="F2" s="25"/>
      <c r="G2" s="25"/>
      <c r="H2" s="385"/>
      <c r="I2" s="385"/>
      <c r="K2" s="589"/>
      <c r="N2" s="773" t="s">
        <v>659</v>
      </c>
    </row>
    <row r="3" spans="1:14" ht="25.5" x14ac:dyDescent="0.35">
      <c r="A3" s="381"/>
      <c r="B3" s="382"/>
      <c r="C3" s="382"/>
      <c r="D3" s="25"/>
      <c r="E3" s="25"/>
      <c r="F3" s="25"/>
      <c r="G3" s="453" t="s">
        <v>602</v>
      </c>
      <c r="H3" s="453" t="s">
        <v>599</v>
      </c>
      <c r="I3" s="453" t="s">
        <v>835</v>
      </c>
    </row>
    <row r="4" spans="1:14" ht="15.75" x14ac:dyDescent="0.25">
      <c r="A4" s="306" t="s">
        <v>76</v>
      </c>
      <c r="B4" s="9">
        <v>1996</v>
      </c>
      <c r="C4" s="10">
        <v>1997</v>
      </c>
      <c r="D4" s="10">
        <v>1998</v>
      </c>
      <c r="E4" s="10">
        <v>1999</v>
      </c>
      <c r="F4" s="10">
        <v>2000</v>
      </c>
      <c r="G4" s="10">
        <v>2001</v>
      </c>
      <c r="H4" s="10">
        <v>2001</v>
      </c>
      <c r="I4" s="10">
        <v>2001</v>
      </c>
      <c r="J4" s="10">
        <v>2002</v>
      </c>
      <c r="K4" s="10">
        <v>2003</v>
      </c>
      <c r="L4" s="10">
        <v>2004</v>
      </c>
      <c r="M4" s="11">
        <v>2005</v>
      </c>
    </row>
    <row r="6" spans="1:14" ht="13.5" x14ac:dyDescent="0.25">
      <c r="A6" s="3" t="s">
        <v>25</v>
      </c>
    </row>
    <row r="8" spans="1:14" x14ac:dyDescent="0.2">
      <c r="A8" s="8" t="s">
        <v>53</v>
      </c>
      <c r="B8" s="4"/>
      <c r="C8" s="4"/>
      <c r="D8" s="4"/>
      <c r="E8" s="4"/>
    </row>
    <row r="9" spans="1:14" x14ac:dyDescent="0.2">
      <c r="A9" s="1" t="s">
        <v>43</v>
      </c>
      <c r="B9" s="4">
        <v>3484</v>
      </c>
      <c r="C9" s="4">
        <v>24057</v>
      </c>
      <c r="D9" s="4">
        <v>5025</v>
      </c>
      <c r="E9" s="4">
        <v>11573</v>
      </c>
      <c r="F9" s="23">
        <f>'Income Statement'!F35</f>
        <v>22728</v>
      </c>
      <c r="G9" s="466">
        <f ca="1">'Income Statement'!G35</f>
        <v>7684.7137937383031</v>
      </c>
      <c r="H9" s="4">
        <f ca="1">'Income Statement'!H35</f>
        <v>5300.3045705750646</v>
      </c>
      <c r="I9" s="4">
        <f ca="1">G9+H9</f>
        <v>12985.018364313368</v>
      </c>
      <c r="J9" s="4">
        <f ca="1">'Income Statement'!J35</f>
        <v>16813.821687816824</v>
      </c>
      <c r="K9" s="4">
        <f ca="1">'Income Statement'!K35</f>
        <v>22385.991907016756</v>
      </c>
      <c r="L9" s="4">
        <f ca="1">'Income Statement'!L35</f>
        <v>28922.209203144892</v>
      </c>
      <c r="M9" s="4">
        <f ca="1">'Income Statement'!M35</f>
        <v>35533.993862751289</v>
      </c>
    </row>
    <row r="10" spans="1:14" x14ac:dyDescent="0.2">
      <c r="A10" s="1" t="s">
        <v>44</v>
      </c>
      <c r="B10" s="506">
        <v>1655</v>
      </c>
      <c r="C10" s="506">
        <v>2799</v>
      </c>
      <c r="D10" s="506">
        <v>2895</v>
      </c>
      <c r="E10" s="506">
        <v>2146</v>
      </c>
      <c r="F10" s="506">
        <f>'Profit &amp; Loss'!K22</f>
        <v>3300</v>
      </c>
      <c r="G10" s="510">
        <f ca="1">'Income Statement'!G16</f>
        <v>1332.9317275822159</v>
      </c>
      <c r="H10" s="506">
        <f ca="1">'Income Statement'!H16</f>
        <v>1845.0399427051036</v>
      </c>
      <c r="I10" s="506">
        <f t="shared" ref="I10:I38" ca="1" si="0">G10+H10</f>
        <v>3177.9716702873193</v>
      </c>
      <c r="J10" s="506">
        <f ca="1">'Income Statement'!J16</f>
        <v>3706.7465520768742</v>
      </c>
      <c r="K10" s="506">
        <f ca="1">'Income Statement'!K16</f>
        <v>3723.4132187435407</v>
      </c>
      <c r="L10" s="506">
        <f ca="1">'Income Statement'!L16</f>
        <v>3740.0798854102072</v>
      </c>
      <c r="M10" s="506">
        <f ca="1">'Income Statement'!M16</f>
        <v>3756.7465520768742</v>
      </c>
    </row>
    <row r="11" spans="1:14" x14ac:dyDescent="0.2">
      <c r="A11" s="1" t="s">
        <v>45</v>
      </c>
      <c r="B11" s="506">
        <v>-1027</v>
      </c>
      <c r="C11" s="506">
        <v>-31525</v>
      </c>
      <c r="D11" s="506">
        <v>-521</v>
      </c>
      <c r="E11" s="506">
        <v>-955</v>
      </c>
      <c r="F11" s="506">
        <v>0</v>
      </c>
      <c r="G11" s="510">
        <v>1362.560864764024</v>
      </c>
      <c r="H11" s="506">
        <f ca="1">+Dep!$F$106/2</f>
        <v>1832.2010981519782</v>
      </c>
      <c r="I11" s="506">
        <f t="shared" ca="1" si="0"/>
        <v>3194.7619629160022</v>
      </c>
      <c r="J11" s="506">
        <f ca="1">+Dep!G106</f>
        <v>6538.7161234517298</v>
      </c>
      <c r="K11" s="506">
        <f ca="1">+Dep!H106</f>
        <v>4616.3306505725386</v>
      </c>
      <c r="L11" s="506">
        <f ca="1">+Dep!I106</f>
        <v>3241.5265032778789</v>
      </c>
      <c r="M11" s="506">
        <f ca="1">+Dep!J106</f>
        <v>2261.0509104040812</v>
      </c>
    </row>
    <row r="12" spans="1:14" x14ac:dyDescent="0.2">
      <c r="A12" s="1" t="s">
        <v>46</v>
      </c>
      <c r="B12" s="506"/>
      <c r="C12" s="506"/>
      <c r="D12" s="506"/>
      <c r="E12" s="506"/>
      <c r="F12" s="506"/>
      <c r="G12" s="510"/>
      <c r="H12" s="506"/>
      <c r="I12" s="506"/>
      <c r="J12" s="506"/>
      <c r="K12" s="506"/>
      <c r="L12" s="506"/>
      <c r="M12" s="506"/>
    </row>
    <row r="13" spans="1:14" x14ac:dyDescent="0.2">
      <c r="A13" s="1" t="s">
        <v>47</v>
      </c>
      <c r="B13" s="506">
        <v>8505</v>
      </c>
      <c r="C13" s="506">
        <v>-593</v>
      </c>
      <c r="D13" s="506">
        <v>-11745</v>
      </c>
      <c r="E13" s="506">
        <v>14088</v>
      </c>
      <c r="F13" s="506">
        <f>-'Balance Sheet'!F11+'Balance Sheet'!E11</f>
        <v>-113</v>
      </c>
      <c r="G13" s="510">
        <f>+'Balance Sheet'!I11+'Balance Sheet'!F11</f>
        <v>12230</v>
      </c>
      <c r="H13" s="506">
        <f>-'Balance Sheet'!J11+'Balance Sheet'!I11</f>
        <v>0</v>
      </c>
      <c r="I13" s="506">
        <f t="shared" si="0"/>
        <v>12230</v>
      </c>
      <c r="J13" s="506">
        <f>-'Balance Sheet'!K11+'Balance Sheet'!J11</f>
        <v>0</v>
      </c>
      <c r="K13" s="506">
        <f>-'Balance Sheet'!L11+'Balance Sheet'!K11</f>
        <v>0</v>
      </c>
      <c r="L13" s="506">
        <f>-'Balance Sheet'!M11+'Balance Sheet'!L11</f>
        <v>0</v>
      </c>
      <c r="M13" s="506">
        <f>-'Balance Sheet'!N11+'Balance Sheet'!M11</f>
        <v>0</v>
      </c>
    </row>
    <row r="14" spans="1:14" x14ac:dyDescent="0.2">
      <c r="A14" s="1" t="s">
        <v>986</v>
      </c>
      <c r="B14" s="506">
        <v>-92729</v>
      </c>
      <c r="C14" s="506">
        <v>138424</v>
      </c>
      <c r="D14" s="506">
        <v>32612</v>
      </c>
      <c r="E14" s="506">
        <v>-35792</v>
      </c>
      <c r="F14" s="506">
        <f>-'Balance Sheet'!F13+'Balance Sheet'!E13</f>
        <v>-188154</v>
      </c>
      <c r="G14" s="510">
        <f ca="1">-'Balance Sheet'!I13+'Balance Sheet'!F13</f>
        <v>-11193.603642323404</v>
      </c>
      <c r="H14" s="506">
        <f ca="1">-'Balance Sheet'!J13+'Balance Sheet'!I13</f>
        <v>15613.752587145893</v>
      </c>
      <c r="I14" s="506">
        <f t="shared" ca="1" si="0"/>
        <v>4420.1489448224893</v>
      </c>
      <c r="J14" s="506">
        <f ca="1">-'Balance Sheet'!K13+'Balance Sheet'!J13</f>
        <v>24631.904922545014</v>
      </c>
      <c r="K14" s="506">
        <f ca="1">-'Balance Sheet'!L13+'Balance Sheet'!K13</f>
        <v>-9024.3470322611392</v>
      </c>
      <c r="L14" s="506">
        <f ca="1">-'Balance Sheet'!M13+'Balance Sheet'!L13</f>
        <v>-13496.939517653722</v>
      </c>
      <c r="M14" s="506">
        <f ca="1">-'Balance Sheet'!N13+'Balance Sheet'!M13</f>
        <v>-13447.64784942969</v>
      </c>
    </row>
    <row r="15" spans="1:14" x14ac:dyDescent="0.2">
      <c r="A15" s="1" t="s">
        <v>48</v>
      </c>
      <c r="B15" s="506">
        <v>-76803</v>
      </c>
      <c r="C15" s="506">
        <v>78465</v>
      </c>
      <c r="D15" s="506">
        <v>5665</v>
      </c>
      <c r="E15" s="506">
        <v>-1463</v>
      </c>
      <c r="F15" s="506">
        <f>-'Balance Sheet'!F14+'Balance Sheet'!E14</f>
        <v>-103601</v>
      </c>
      <c r="G15" s="510">
        <f ca="1">-'Balance Sheet'!I14+'Balance Sheet'!F14</f>
        <v>9383.4439678384224</v>
      </c>
      <c r="H15" s="506">
        <f ca="1">-'Balance Sheet'!J14+'Balance Sheet'!I14</f>
        <v>3663.9376361655886</v>
      </c>
      <c r="I15" s="506">
        <f t="shared" ca="1" si="0"/>
        <v>13047.381604004011</v>
      </c>
      <c r="J15" s="506">
        <f ca="1">-'Balance Sheet'!K14+'Balance Sheet'!J14</f>
        <v>-4786.0186092351796</v>
      </c>
      <c r="K15" s="506">
        <f ca="1">-'Balance Sheet'!L14+'Balance Sheet'!K14</f>
        <v>2174.269730060827</v>
      </c>
      <c r="L15" s="506">
        <f ca="1">-'Balance Sheet'!M14+'Balance Sheet'!L14</f>
        <v>-4866.333947314939</v>
      </c>
      <c r="M15" s="506">
        <f ca="1">-'Balance Sheet'!N14+'Balance Sheet'!M14</f>
        <v>-4039.6504304841801</v>
      </c>
    </row>
    <row r="16" spans="1:14" x14ac:dyDescent="0.2">
      <c r="A16" s="1" t="s">
        <v>49</v>
      </c>
      <c r="B16" s="506">
        <v>129</v>
      </c>
      <c r="C16" s="506">
        <v>496</v>
      </c>
      <c r="D16" s="506">
        <v>1177</v>
      </c>
      <c r="E16" s="506">
        <v>-47</v>
      </c>
      <c r="F16" s="506">
        <f>-'Balance Sheet'!F15+'Balance Sheet'!E15</f>
        <v>-2100</v>
      </c>
      <c r="G16" s="510">
        <f>-'Balance Sheet'!I15+'Balance Sheet'!F15</f>
        <v>0</v>
      </c>
      <c r="H16" s="506">
        <f>-'Balance Sheet'!J15+'Balance Sheet'!I15</f>
        <v>0</v>
      </c>
      <c r="I16" s="506">
        <f t="shared" si="0"/>
        <v>0</v>
      </c>
      <c r="J16" s="506">
        <f>-'Balance Sheet'!K15+'Balance Sheet'!J15</f>
        <v>0</v>
      </c>
      <c r="K16" s="506">
        <f>-'Balance Sheet'!L15+'Balance Sheet'!K15</f>
        <v>0</v>
      </c>
      <c r="L16" s="506">
        <f>-'Balance Sheet'!M15+'Balance Sheet'!L15</f>
        <v>0</v>
      </c>
      <c r="M16" s="506">
        <f>-'Balance Sheet'!N15+'Balance Sheet'!M15</f>
        <v>0</v>
      </c>
    </row>
    <row r="17" spans="1:13" x14ac:dyDescent="0.2">
      <c r="A17" s="1" t="s">
        <v>50</v>
      </c>
      <c r="B17" s="506">
        <v>97423</v>
      </c>
      <c r="C17" s="506">
        <v>-76909</v>
      </c>
      <c r="D17" s="506">
        <v>-54408</v>
      </c>
      <c r="E17" s="506">
        <v>-8018</v>
      </c>
      <c r="F17" s="506">
        <f>+'Balance Sheet'!F28-'Balance Sheet'!E28</f>
        <v>154995</v>
      </c>
      <c r="G17" s="510">
        <f ca="1">+'Balance Sheet'!I28-'Balance Sheet'!F28</f>
        <v>640.35003587976098</v>
      </c>
      <c r="H17" s="506">
        <f ca="1">+'Balance Sheet'!J28-'Balance Sheet'!I28</f>
        <v>-7190.1112172113499</v>
      </c>
      <c r="I17" s="506">
        <f t="shared" ca="1" si="0"/>
        <v>-6549.7611813315889</v>
      </c>
      <c r="J17" s="506">
        <f ca="1">+'Balance Sheet'!K28-'Balance Sheet'!J28</f>
        <v>8509.2736421090376</v>
      </c>
      <c r="K17" s="506">
        <f ca="1">+'Balance Sheet'!L28-'Balance Sheet'!K28</f>
        <v>4151.915615416161</v>
      </c>
      <c r="L17" s="506">
        <f ca="1">+'Balance Sheet'!M28-'Balance Sheet'!L28</f>
        <v>8999.8548613248568</v>
      </c>
      <c r="M17" s="506">
        <f ca="1">+'Balance Sheet'!N28-'Balance Sheet'!M28</f>
        <v>8688.9674031292088</v>
      </c>
    </row>
    <row r="18" spans="1:13" x14ac:dyDescent="0.2">
      <c r="A18" s="1" t="s">
        <v>51</v>
      </c>
      <c r="B18" s="506">
        <v>-3925</v>
      </c>
      <c r="C18" s="506">
        <v>-11788</v>
      </c>
      <c r="D18" s="506">
        <v>-4254</v>
      </c>
      <c r="E18" s="506">
        <v>8366</v>
      </c>
      <c r="F18" s="506">
        <f>+'Balance Sheet'!F29-'Balance Sheet'!E29</f>
        <v>19065</v>
      </c>
      <c r="G18" s="510">
        <f>+'Balance Sheet'!I29-'Balance Sheet'!F29</f>
        <v>0</v>
      </c>
      <c r="H18" s="506">
        <f>+'Balance Sheet'!J29-'Balance Sheet'!I29</f>
        <v>0</v>
      </c>
      <c r="I18" s="506">
        <f t="shared" si="0"/>
        <v>0</v>
      </c>
      <c r="J18" s="506">
        <f>+'Balance Sheet'!K29-'Balance Sheet'!J29</f>
        <v>0</v>
      </c>
      <c r="K18" s="506">
        <f>+'Balance Sheet'!L29-'Balance Sheet'!K29</f>
        <v>0</v>
      </c>
      <c r="L18" s="506">
        <f>+'Balance Sheet'!M29-'Balance Sheet'!L29</f>
        <v>0</v>
      </c>
      <c r="M18" s="506">
        <f>+'Balance Sheet'!N29-'Balance Sheet'!M29</f>
        <v>0</v>
      </c>
    </row>
    <row r="19" spans="1:13" ht="15" x14ac:dyDescent="0.35">
      <c r="A19" s="1" t="s">
        <v>52</v>
      </c>
      <c r="B19" s="507">
        <v>1000</v>
      </c>
      <c r="C19" s="507">
        <v>-1016</v>
      </c>
      <c r="D19" s="507">
        <v>42</v>
      </c>
      <c r="E19" s="507">
        <v>815</v>
      </c>
      <c r="F19" s="507">
        <f>+'Balance Sheet'!F30-'Balance Sheet'!E30</f>
        <v>939</v>
      </c>
      <c r="G19" s="511">
        <f ca="1">+'Balance Sheet'!I30-'Balance Sheet'!F30</f>
        <v>2047.9228120129319</v>
      </c>
      <c r="H19" s="507">
        <f ca="1">+'Balance Sheet'!J30-'Balance Sheet'!I30</f>
        <v>-1283.9126586263592</v>
      </c>
      <c r="I19" s="507">
        <f t="shared" ca="1" si="0"/>
        <v>764.01015338657271</v>
      </c>
      <c r="J19" s="507">
        <f ca="1">+'Balance Sheet'!K30-'Balance Sheet'!J30</f>
        <v>6199.586140053254</v>
      </c>
      <c r="K19" s="507">
        <f ca="1">+'Balance Sheet'!L30-'Balance Sheet'!K30</f>
        <v>3000.3993487999651</v>
      </c>
      <c r="L19" s="507">
        <f ca="1">+'Balance Sheet'!M30-'Balance Sheet'!L30</f>
        <v>3519.5016209920705</v>
      </c>
      <c r="M19" s="507">
        <f ca="1">+'Balance Sheet'!N30-'Balance Sheet'!M30</f>
        <v>3560.1917397880625</v>
      </c>
    </row>
    <row r="20" spans="1:13" x14ac:dyDescent="0.2">
      <c r="A20" s="2" t="s">
        <v>62</v>
      </c>
      <c r="B20" s="4">
        <f t="shared" ref="B20:M20" si="1">SUM(B9:B19)</f>
        <v>-62288</v>
      </c>
      <c r="C20" s="4">
        <f t="shared" si="1"/>
        <v>122410</v>
      </c>
      <c r="D20" s="4">
        <f t="shared" si="1"/>
        <v>-23512</v>
      </c>
      <c r="E20" s="4">
        <f t="shared" si="1"/>
        <v>-9287</v>
      </c>
      <c r="F20" s="23">
        <f t="shared" si="1"/>
        <v>-92941</v>
      </c>
      <c r="G20" s="466">
        <f t="shared" ca="1" si="1"/>
        <v>23488.319559492258</v>
      </c>
      <c r="H20" s="4">
        <f t="shared" ca="1" si="1"/>
        <v>19781.211958905918</v>
      </c>
      <c r="I20" s="4">
        <f t="shared" ca="1" si="0"/>
        <v>43269.531518398173</v>
      </c>
      <c r="J20" s="4">
        <f t="shared" ca="1" si="1"/>
        <v>61614.030458817557</v>
      </c>
      <c r="K20" s="4">
        <f t="shared" ca="1" si="1"/>
        <v>31027.97343834865</v>
      </c>
      <c r="L20" s="4">
        <f t="shared" ca="1" si="1"/>
        <v>30059.898609181248</v>
      </c>
      <c r="M20" s="4">
        <f t="shared" ca="1" si="1"/>
        <v>36313.652188235646</v>
      </c>
    </row>
    <row r="21" spans="1:13" x14ac:dyDescent="0.2">
      <c r="B21" s="4"/>
      <c r="C21" s="4"/>
      <c r="D21" s="4"/>
      <c r="E21" s="4"/>
      <c r="F21" s="23"/>
      <c r="G21" s="466"/>
      <c r="H21" s="4"/>
      <c r="I21" s="4"/>
      <c r="J21" s="4"/>
      <c r="K21" s="4"/>
      <c r="L21" s="4"/>
      <c r="M21" s="4"/>
    </row>
    <row r="22" spans="1:13" x14ac:dyDescent="0.2">
      <c r="A22" s="8" t="s">
        <v>54</v>
      </c>
      <c r="B22" s="4"/>
      <c r="C22" s="4"/>
      <c r="D22" s="4"/>
      <c r="E22" s="4"/>
      <c r="F22" s="23"/>
      <c r="G22" s="466"/>
      <c r="H22" s="4"/>
      <c r="I22" s="4"/>
      <c r="J22" s="4"/>
      <c r="K22" s="4"/>
      <c r="L22" s="4"/>
      <c r="M22" s="4"/>
    </row>
    <row r="23" spans="1:13" x14ac:dyDescent="0.2">
      <c r="A23" s="1" t="s">
        <v>55</v>
      </c>
      <c r="B23" s="4">
        <v>-476</v>
      </c>
      <c r="C23" s="4">
        <v>-415</v>
      </c>
      <c r="D23" s="4">
        <v>0</v>
      </c>
      <c r="E23" s="4">
        <v>0</v>
      </c>
      <c r="F23" s="23">
        <v>0</v>
      </c>
      <c r="G23" s="466">
        <v>0</v>
      </c>
      <c r="H23" s="4">
        <v>0</v>
      </c>
      <c r="I23" s="4">
        <f t="shared" si="0"/>
        <v>0</v>
      </c>
      <c r="J23" s="4">
        <v>0</v>
      </c>
      <c r="K23" s="4">
        <v>0</v>
      </c>
      <c r="L23" s="4">
        <v>0</v>
      </c>
      <c r="M23" s="4">
        <v>0</v>
      </c>
    </row>
    <row r="24" spans="1:13" x14ac:dyDescent="0.2">
      <c r="A24" s="1" t="s">
        <v>56</v>
      </c>
      <c r="B24" s="506">
        <v>-2059</v>
      </c>
      <c r="C24" s="506">
        <v>-1217</v>
      </c>
      <c r="D24" s="506">
        <v>-4775</v>
      </c>
      <c r="E24" s="506">
        <v>787</v>
      </c>
      <c r="F24" s="506">
        <v>0</v>
      </c>
      <c r="G24" s="510">
        <v>0</v>
      </c>
      <c r="H24" s="506">
        <v>0</v>
      </c>
      <c r="I24" s="506">
        <f t="shared" si="0"/>
        <v>0</v>
      </c>
      <c r="J24" s="506">
        <v>0</v>
      </c>
      <c r="K24" s="506">
        <v>0</v>
      </c>
      <c r="L24" s="506">
        <v>0</v>
      </c>
      <c r="M24" s="506">
        <v>0</v>
      </c>
    </row>
    <row r="25" spans="1:13" x14ac:dyDescent="0.2">
      <c r="A25" s="1" t="s">
        <v>57</v>
      </c>
      <c r="B25" s="506">
        <v>-1177</v>
      </c>
      <c r="C25" s="506">
        <v>-5894</v>
      </c>
      <c r="D25" s="506">
        <v>-1471</v>
      </c>
      <c r="E25" s="506">
        <v>-12361</v>
      </c>
      <c r="F25" s="506">
        <v>-8000</v>
      </c>
      <c r="G25" s="510">
        <v>0</v>
      </c>
      <c r="H25" s="506">
        <f>+'Valuation - DCF'!L51</f>
        <v>-250</v>
      </c>
      <c r="I25" s="506">
        <f t="shared" si="0"/>
        <v>-250</v>
      </c>
      <c r="J25" s="506">
        <f>+'Valuation - DCF'!M51</f>
        <v>-500</v>
      </c>
      <c r="K25" s="506">
        <f>+'Valuation - DCF'!N51</f>
        <v>-500</v>
      </c>
      <c r="L25" s="506">
        <f>+'Valuation - DCF'!O51</f>
        <v>-500</v>
      </c>
      <c r="M25" s="506">
        <f>+'Valuation - DCF'!P51</f>
        <v>-500</v>
      </c>
    </row>
    <row r="26" spans="1:13" ht="15" x14ac:dyDescent="0.35">
      <c r="A26" s="1" t="s">
        <v>58</v>
      </c>
      <c r="B26" s="507">
        <v>435</v>
      </c>
      <c r="C26" s="507">
        <v>1914</v>
      </c>
      <c r="D26" s="507">
        <v>0</v>
      </c>
      <c r="E26" s="507">
        <v>0</v>
      </c>
      <c r="F26" s="507">
        <v>0</v>
      </c>
      <c r="G26" s="511">
        <v>0</v>
      </c>
      <c r="H26" s="507">
        <v>0</v>
      </c>
      <c r="I26" s="507">
        <f t="shared" si="0"/>
        <v>0</v>
      </c>
      <c r="J26" s="507">
        <v>0</v>
      </c>
      <c r="K26" s="507">
        <v>0</v>
      </c>
      <c r="L26" s="507">
        <v>0</v>
      </c>
      <c r="M26" s="507">
        <v>0</v>
      </c>
    </row>
    <row r="27" spans="1:13" x14ac:dyDescent="0.2">
      <c r="A27" s="2" t="s">
        <v>63</v>
      </c>
      <c r="B27" s="4">
        <f t="shared" ref="B27:M27" si="2">SUM(B23:B26)</f>
        <v>-3277</v>
      </c>
      <c r="C27" s="4">
        <f t="shared" si="2"/>
        <v>-5612</v>
      </c>
      <c r="D27" s="4">
        <f t="shared" si="2"/>
        <v>-6246</v>
      </c>
      <c r="E27" s="4">
        <f t="shared" si="2"/>
        <v>-11574</v>
      </c>
      <c r="F27" s="23">
        <f t="shared" si="2"/>
        <v>-8000</v>
      </c>
      <c r="G27" s="466">
        <f t="shared" si="2"/>
        <v>0</v>
      </c>
      <c r="H27" s="4">
        <f t="shared" si="2"/>
        <v>-250</v>
      </c>
      <c r="I27" s="4">
        <f t="shared" si="0"/>
        <v>-250</v>
      </c>
      <c r="J27" s="4">
        <f t="shared" si="2"/>
        <v>-500</v>
      </c>
      <c r="K27" s="4">
        <f t="shared" si="2"/>
        <v>-500</v>
      </c>
      <c r="L27" s="4">
        <f t="shared" si="2"/>
        <v>-500</v>
      </c>
      <c r="M27" s="4">
        <f t="shared" si="2"/>
        <v>-500</v>
      </c>
    </row>
    <row r="28" spans="1:13" x14ac:dyDescent="0.2">
      <c r="B28" s="4"/>
      <c r="C28" s="4"/>
      <c r="D28" s="4"/>
      <c r="E28" s="4"/>
      <c r="F28" s="23"/>
      <c r="G28" s="466"/>
      <c r="H28" s="4"/>
      <c r="I28" s="4"/>
      <c r="J28" s="4"/>
      <c r="K28" s="4"/>
      <c r="L28" s="4"/>
      <c r="M28" s="4"/>
    </row>
    <row r="29" spans="1:13" x14ac:dyDescent="0.2">
      <c r="A29" s="8" t="s">
        <v>59</v>
      </c>
      <c r="B29" s="4"/>
      <c r="C29" s="4"/>
      <c r="D29" s="4"/>
      <c r="E29" s="4"/>
      <c r="F29" s="23"/>
      <c r="G29" s="466"/>
      <c r="H29" s="4"/>
      <c r="I29" s="4"/>
      <c r="J29" s="4"/>
      <c r="K29" s="4"/>
      <c r="L29" s="4"/>
      <c r="M29" s="4"/>
    </row>
    <row r="30" spans="1:13" x14ac:dyDescent="0.2">
      <c r="A30" s="1" t="s">
        <v>60</v>
      </c>
      <c r="B30" s="4">
        <v>49995</v>
      </c>
      <c r="C30" s="4">
        <v>-79200</v>
      </c>
      <c r="D30" s="4">
        <v>31900</v>
      </c>
      <c r="E30" s="4">
        <v>22700</v>
      </c>
      <c r="F30" s="23">
        <f>'Balance Sheet'!F27-'Balance Sheet'!E27+'Balance Sheet'!F33-'Balance Sheet'!E33</f>
        <v>76900</v>
      </c>
      <c r="G30" s="466">
        <f>+'Balance Sheet'!I27+'Balance Sheet'!I33-'Balance Sheet'!F27-'Balance Sheet'!F33</f>
        <v>0</v>
      </c>
      <c r="H30" s="23">
        <f>+'Balance Sheet'!J27+'Balance Sheet'!J33-'Balance Sheet'!I27-'Balance Sheet'!I33</f>
        <v>0</v>
      </c>
      <c r="I30" s="23">
        <f t="shared" si="0"/>
        <v>0</v>
      </c>
      <c r="J30" s="23">
        <f>+'Balance Sheet'!K27+'Balance Sheet'!K33-'Balance Sheet'!J27-'Balance Sheet'!J33</f>
        <v>0</v>
      </c>
      <c r="K30" s="23">
        <f>+'Balance Sheet'!L27+'Balance Sheet'!L33-'Balance Sheet'!K27-'Balance Sheet'!K33</f>
        <v>0</v>
      </c>
      <c r="L30" s="23">
        <f>+'Balance Sheet'!M27+'Balance Sheet'!M33-'Balance Sheet'!L27-'Balance Sheet'!L33</f>
        <v>0</v>
      </c>
      <c r="M30" s="23">
        <f>+'Balance Sheet'!N27+'Balance Sheet'!N33-'Balance Sheet'!M27-'Balance Sheet'!M33</f>
        <v>0</v>
      </c>
    </row>
    <row r="31" spans="1:13" ht="15" x14ac:dyDescent="0.35">
      <c r="A31" s="1" t="s">
        <v>61</v>
      </c>
      <c r="B31" s="507">
        <v>0</v>
      </c>
      <c r="C31" s="507">
        <v>0</v>
      </c>
      <c r="D31" s="507">
        <v>-10000</v>
      </c>
      <c r="E31" s="507">
        <v>-10000</v>
      </c>
      <c r="F31" s="507">
        <v>0</v>
      </c>
      <c r="G31" s="511">
        <v>0</v>
      </c>
      <c r="H31" s="507">
        <f ca="1">-(H20+H27+G38-(Assumptions!$B$16*1000))</f>
        <v>-57486.530518398176</v>
      </c>
      <c r="I31" s="507">
        <f t="shared" ca="1" si="0"/>
        <v>-57486.530518398176</v>
      </c>
      <c r="J31" s="507">
        <f ca="1">-(J20+J27+H38-(Assumptions!$B$12*1000))</f>
        <v>-51114.031458817561</v>
      </c>
      <c r="K31" s="507">
        <f ca="1">-(K20+K27+J38-(Assumptions!$B$12*1000))</f>
        <v>-30527.97343834865</v>
      </c>
      <c r="L31" s="507">
        <f ca="1">-(L20+L27+K38-(Assumptions!$B$12*1000))</f>
        <v>-29559.898609181248</v>
      </c>
      <c r="M31" s="507">
        <f ca="1">-(M20+M27+L38-(Assumptions!$B$12*1000))</f>
        <v>-35813.652188235646</v>
      </c>
    </row>
    <row r="32" spans="1:13" x14ac:dyDescent="0.2">
      <c r="A32" s="2" t="s">
        <v>64</v>
      </c>
      <c r="B32" s="4">
        <f t="shared" ref="B32:M32" si="3">SUM(B30:B31)</f>
        <v>49995</v>
      </c>
      <c r="C32" s="4">
        <f t="shared" si="3"/>
        <v>-79200</v>
      </c>
      <c r="D32" s="4">
        <f t="shared" si="3"/>
        <v>21900</v>
      </c>
      <c r="E32" s="4">
        <f t="shared" si="3"/>
        <v>12700</v>
      </c>
      <c r="F32" s="23">
        <f t="shared" si="3"/>
        <v>76900</v>
      </c>
      <c r="G32" s="466">
        <f t="shared" si="3"/>
        <v>0</v>
      </c>
      <c r="H32" s="4">
        <f t="shared" ca="1" si="3"/>
        <v>-57486.530518398176</v>
      </c>
      <c r="I32" s="4">
        <f t="shared" ca="1" si="0"/>
        <v>-57486.530518398176</v>
      </c>
      <c r="J32" s="4">
        <f t="shared" ca="1" si="3"/>
        <v>-51114.031458817561</v>
      </c>
      <c r="K32" s="4">
        <f t="shared" ca="1" si="3"/>
        <v>-30527.97343834865</v>
      </c>
      <c r="L32" s="4">
        <f t="shared" ca="1" si="3"/>
        <v>-29559.898609181248</v>
      </c>
      <c r="M32" s="4">
        <f t="shared" ca="1" si="3"/>
        <v>-35813.652188235646</v>
      </c>
    </row>
    <row r="33" spans="1:13" x14ac:dyDescent="0.2">
      <c r="B33" s="4"/>
      <c r="C33" s="4"/>
      <c r="D33" s="4"/>
      <c r="E33" s="4"/>
      <c r="F33" s="23"/>
      <c r="G33" s="466"/>
      <c r="H33" s="4"/>
      <c r="I33" s="4"/>
      <c r="J33" s="4"/>
      <c r="K33" s="4"/>
      <c r="L33" s="4"/>
      <c r="M33" s="4"/>
    </row>
    <row r="34" spans="1:13" x14ac:dyDescent="0.2">
      <c r="A34" s="2" t="s">
        <v>65</v>
      </c>
      <c r="B34" s="4">
        <f t="shared" ref="B34:M34" si="4">+B20+B27+B32</f>
        <v>-15570</v>
      </c>
      <c r="C34" s="4">
        <f t="shared" si="4"/>
        <v>37598</v>
      </c>
      <c r="D34" s="4">
        <f t="shared" si="4"/>
        <v>-7858</v>
      </c>
      <c r="E34" s="4">
        <f t="shared" si="4"/>
        <v>-8161</v>
      </c>
      <c r="F34" s="23">
        <f t="shared" si="4"/>
        <v>-24041</v>
      </c>
      <c r="G34" s="466">
        <f t="shared" ca="1" si="4"/>
        <v>23488.319559492258</v>
      </c>
      <c r="H34" s="4">
        <f t="shared" ca="1" si="4"/>
        <v>-37955.318559492254</v>
      </c>
      <c r="I34" s="4">
        <f t="shared" ca="1" si="0"/>
        <v>-14466.998999999996</v>
      </c>
      <c r="J34" s="4">
        <f t="shared" ca="1" si="4"/>
        <v>9999.9989999999962</v>
      </c>
      <c r="K34" s="4">
        <f t="shared" ca="1" si="4"/>
        <v>0</v>
      </c>
      <c r="L34" s="4">
        <f t="shared" ca="1" si="4"/>
        <v>0</v>
      </c>
      <c r="M34" s="4">
        <f t="shared" ca="1" si="4"/>
        <v>0</v>
      </c>
    </row>
    <row r="35" spans="1:13" x14ac:dyDescent="0.2">
      <c r="B35" s="4"/>
      <c r="C35" s="4"/>
      <c r="D35" s="4"/>
      <c r="E35" s="4"/>
      <c r="F35" s="23"/>
      <c r="G35" s="466"/>
      <c r="H35" s="4"/>
      <c r="I35" s="4"/>
      <c r="J35" s="4"/>
      <c r="K35" s="4"/>
      <c r="L35" s="4"/>
      <c r="M35" s="4"/>
    </row>
    <row r="36" spans="1:13" x14ac:dyDescent="0.2">
      <c r="A36" s="2" t="s">
        <v>66</v>
      </c>
      <c r="B36" s="4">
        <v>30004</v>
      </c>
      <c r="C36" s="4">
        <f>+B38</f>
        <v>14434</v>
      </c>
      <c r="D36" s="4">
        <f>+C38</f>
        <v>52032</v>
      </c>
      <c r="E36" s="4">
        <f>+D38</f>
        <v>44174</v>
      </c>
      <c r="F36" s="4">
        <f>+E38</f>
        <v>36013</v>
      </c>
      <c r="G36" s="466">
        <f>+'Balance Sheet'!F10</f>
        <v>14467</v>
      </c>
      <c r="H36" s="23">
        <f ca="1">+G38</f>
        <v>37955.319559492258</v>
      </c>
      <c r="I36" s="23">
        <f t="shared" ca="1" si="0"/>
        <v>52422.319559492258</v>
      </c>
      <c r="J36" s="23">
        <f ca="1">+H38</f>
        <v>1.0000000038417056E-3</v>
      </c>
      <c r="K36" s="23">
        <f ca="1">+J38</f>
        <v>10000</v>
      </c>
      <c r="L36" s="23">
        <f ca="1">+K38</f>
        <v>10000</v>
      </c>
      <c r="M36" s="23">
        <f ca="1">+L38</f>
        <v>10000</v>
      </c>
    </row>
    <row r="37" spans="1:13" x14ac:dyDescent="0.2">
      <c r="B37" s="4"/>
      <c r="C37" s="4"/>
      <c r="D37" s="4"/>
      <c r="E37" s="4"/>
      <c r="F37" s="23"/>
      <c r="G37" s="466"/>
      <c r="H37" s="4"/>
      <c r="I37" s="4"/>
      <c r="J37" s="4"/>
      <c r="K37" s="4"/>
      <c r="L37" s="4"/>
      <c r="M37" s="4"/>
    </row>
    <row r="38" spans="1:13" x14ac:dyDescent="0.2">
      <c r="A38" s="2" t="s">
        <v>67</v>
      </c>
      <c r="B38" s="6">
        <f t="shared" ref="B38:M38" si="5">+B34+B36</f>
        <v>14434</v>
      </c>
      <c r="C38" s="6">
        <f t="shared" si="5"/>
        <v>52032</v>
      </c>
      <c r="D38" s="6">
        <f t="shared" si="5"/>
        <v>44174</v>
      </c>
      <c r="E38" s="6">
        <f t="shared" si="5"/>
        <v>36013</v>
      </c>
      <c r="F38" s="474">
        <f t="shared" si="5"/>
        <v>11972</v>
      </c>
      <c r="G38" s="467">
        <f ca="1">'Balance Sheet'!I10</f>
        <v>37955.319559492258</v>
      </c>
      <c r="H38" s="6">
        <f t="shared" ca="1" si="5"/>
        <v>1.0000000038417056E-3</v>
      </c>
      <c r="I38" s="6">
        <f t="shared" ca="1" si="0"/>
        <v>37955.320559492262</v>
      </c>
      <c r="J38" s="6">
        <f t="shared" ca="1" si="5"/>
        <v>10000</v>
      </c>
      <c r="K38" s="6">
        <f t="shared" ca="1" si="5"/>
        <v>10000</v>
      </c>
      <c r="L38" s="6">
        <f t="shared" ca="1" si="5"/>
        <v>10000</v>
      </c>
      <c r="M38" s="6">
        <f t="shared" ca="1" si="5"/>
        <v>10000</v>
      </c>
    </row>
    <row r="40" spans="1:13" x14ac:dyDescent="0.2">
      <c r="B40" s="136"/>
      <c r="C40" s="136"/>
      <c r="D40" s="136"/>
      <c r="E40" s="136"/>
    </row>
    <row r="41" spans="1:13" x14ac:dyDescent="0.2">
      <c r="B41" s="136"/>
      <c r="C41" s="136"/>
      <c r="D41" s="136"/>
      <c r="E41" s="136"/>
      <c r="F41" s="18"/>
    </row>
    <row r="42" spans="1:13" x14ac:dyDescent="0.2">
      <c r="A42" s="584" t="s">
        <v>578</v>
      </c>
    </row>
    <row r="43" spans="1:13" x14ac:dyDescent="0.2">
      <c r="C43" s="18"/>
    </row>
  </sheetData>
  <printOptions horizontalCentered="1"/>
  <pageMargins left="0.75" right="0.75" top="0.53" bottom="1" header="0.5" footer="0.5"/>
  <pageSetup scale="67" orientation="landscape" verticalDpi="200" r:id="rId1"/>
  <headerFooter alignWithMargins="0">
    <oddFooter>&amp;L&amp;7&amp;D &amp;T&amp;C&amp;8&amp;P&amp;R&amp;7o:/Corpdev/North America/Raul/Ammonia/&amp;F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7"/>
  <sheetViews>
    <sheetView zoomScale="75" zoomScaleNormal="75" workbookViewId="0">
      <selection activeCell="B33" sqref="B33"/>
    </sheetView>
  </sheetViews>
  <sheetFormatPr defaultRowHeight="12.75" outlineLevelRow="1" x14ac:dyDescent="0.2"/>
  <cols>
    <col min="3" max="7" width="12.28515625" customWidth="1"/>
    <col min="8" max="8" width="13.42578125" customWidth="1"/>
    <col min="9" max="9" width="12.85546875" customWidth="1"/>
    <col min="10" max="11" width="12.28515625" customWidth="1"/>
    <col min="12" max="15" width="12.42578125" customWidth="1"/>
    <col min="16" max="16" width="11.7109375" customWidth="1"/>
    <col min="17" max="17" width="12.42578125" bestFit="1" customWidth="1"/>
  </cols>
  <sheetData>
    <row r="1" spans="1:17" ht="27" thickBot="1" x14ac:dyDescent="0.45">
      <c r="A1" s="361" t="s">
        <v>518</v>
      </c>
      <c r="B1" s="360"/>
      <c r="C1" s="360"/>
      <c r="D1" s="360"/>
      <c r="E1" s="360"/>
      <c r="F1" s="360"/>
      <c r="G1" s="360"/>
      <c r="H1" s="360"/>
      <c r="I1" s="360"/>
      <c r="J1" s="360"/>
      <c r="K1" s="360"/>
      <c r="L1" s="353"/>
      <c r="M1" s="353"/>
      <c r="N1" s="353"/>
      <c r="O1" s="360"/>
      <c r="P1" s="360"/>
      <c r="Q1" s="778" t="s">
        <v>927</v>
      </c>
    </row>
    <row r="3" spans="1:17" ht="15.75" x14ac:dyDescent="0.25">
      <c r="Q3" s="588" t="s">
        <v>659</v>
      </c>
    </row>
    <row r="6" spans="1:17" x14ac:dyDescent="0.2">
      <c r="L6" s="149" t="s">
        <v>600</v>
      </c>
      <c r="M6" s="149" t="s">
        <v>601</v>
      </c>
    </row>
    <row r="7" spans="1:17" ht="18" x14ac:dyDescent="0.25">
      <c r="C7" s="309"/>
      <c r="D7" s="309"/>
      <c r="E7" s="309"/>
      <c r="F7" s="309"/>
      <c r="G7" s="309"/>
      <c r="I7" s="394">
        <v>1998</v>
      </c>
      <c r="J7" s="394">
        <v>1999</v>
      </c>
      <c r="K7" s="394">
        <v>2000</v>
      </c>
      <c r="L7" s="560">
        <v>2001</v>
      </c>
      <c r="M7" s="394">
        <v>2001</v>
      </c>
      <c r="N7" s="394">
        <v>2002</v>
      </c>
      <c r="O7" s="394">
        <v>2003</v>
      </c>
      <c r="P7" s="394">
        <v>2004</v>
      </c>
      <c r="Q7" s="421">
        <v>2005</v>
      </c>
    </row>
    <row r="8" spans="1:17" ht="18" x14ac:dyDescent="0.25">
      <c r="C8" s="171" t="s">
        <v>929</v>
      </c>
      <c r="D8" s="309"/>
      <c r="E8" s="309"/>
      <c r="F8" s="309"/>
      <c r="G8" s="309"/>
      <c r="H8" s="779"/>
      <c r="I8" s="780"/>
      <c r="J8" s="780"/>
      <c r="K8" s="780"/>
      <c r="L8" s="564"/>
      <c r="M8" s="780"/>
      <c r="N8" s="780"/>
      <c r="O8" s="780"/>
      <c r="P8" s="780"/>
      <c r="Q8" s="780"/>
    </row>
    <row r="9" spans="1:17" ht="18" hidden="1" outlineLevel="1" x14ac:dyDescent="0.25">
      <c r="C9" s="171"/>
      <c r="D9" s="309"/>
      <c r="E9" s="309"/>
      <c r="F9" s="309"/>
      <c r="G9" s="309"/>
      <c r="H9" s="779"/>
      <c r="I9" s="396">
        <v>5909</v>
      </c>
      <c r="J9" s="396">
        <v>6191</v>
      </c>
      <c r="K9" s="396">
        <v>7508</v>
      </c>
      <c r="L9" s="563"/>
      <c r="M9" s="396"/>
      <c r="N9" s="396"/>
      <c r="O9" s="396"/>
      <c r="P9" s="396"/>
      <c r="Q9" s="396"/>
    </row>
    <row r="10" spans="1:17" ht="18" hidden="1" outlineLevel="1" x14ac:dyDescent="0.25">
      <c r="C10" s="171"/>
      <c r="D10" s="309"/>
      <c r="E10" s="309"/>
      <c r="F10" s="309"/>
      <c r="G10" s="309"/>
      <c r="H10" s="779"/>
      <c r="I10" s="396">
        <f>(2/3)*2895</f>
        <v>1930</v>
      </c>
      <c r="J10" s="396">
        <f>(2/3)*2146</f>
        <v>1430.6666666666665</v>
      </c>
      <c r="K10" s="396">
        <f>(2/3)*3300</f>
        <v>2200</v>
      </c>
      <c r="L10" s="781"/>
      <c r="M10" s="781"/>
      <c r="N10" s="781"/>
      <c r="O10" s="781"/>
      <c r="P10" s="781"/>
      <c r="Q10" s="781"/>
    </row>
    <row r="11" spans="1:17" ht="18" collapsed="1" x14ac:dyDescent="0.25">
      <c r="C11" s="309" t="s">
        <v>152</v>
      </c>
      <c r="D11" s="309"/>
      <c r="E11" s="309"/>
      <c r="F11" s="309"/>
      <c r="G11" s="309"/>
      <c r="H11" s="396"/>
      <c r="I11" s="396">
        <f>I10+I9</f>
        <v>7839</v>
      </c>
      <c r="J11" s="396">
        <f>J10+J9</f>
        <v>7621.6666666666661</v>
      </c>
      <c r="K11" s="396">
        <f>K10+K9</f>
        <v>9708</v>
      </c>
      <c r="L11" s="563">
        <f ca="1">'Valuation - DCF'!K19</f>
        <v>5025.0600000000004</v>
      </c>
      <c r="M11" s="396">
        <f ca="1">'Valuation - DCF'!L19</f>
        <v>5025.0600000000004</v>
      </c>
      <c r="N11" s="396">
        <f ca="1">'Valuation - DCF'!M19</f>
        <v>10244.120000000001</v>
      </c>
      <c r="O11" s="396">
        <f ca="1">'Valuation - DCF'!N19</f>
        <v>8877.36</v>
      </c>
      <c r="P11" s="396">
        <f ca="1">'Valuation - DCF'!O19</f>
        <v>9019.1520000000019</v>
      </c>
      <c r="Q11" s="396">
        <f ca="1">'Valuation - DCF'!P19</f>
        <v>8942.615679999999</v>
      </c>
    </row>
    <row r="12" spans="1:17" ht="18" x14ac:dyDescent="0.25">
      <c r="C12" s="309" t="s">
        <v>930</v>
      </c>
      <c r="D12" s="309"/>
      <c r="E12" s="309"/>
      <c r="F12" s="309"/>
      <c r="G12" s="309"/>
      <c r="H12" s="779"/>
      <c r="I12" s="397">
        <f>'Rail Ops'!F15+'Rail Ops'!F17</f>
        <v>3180</v>
      </c>
      <c r="J12" s="397">
        <f>'Rail Ops'!G15+'Rail Ops'!G17</f>
        <v>3364</v>
      </c>
      <c r="K12" s="397">
        <f>'Rail Ops'!H15+'Rail Ops'!H17</f>
        <v>3858</v>
      </c>
      <c r="L12" s="564">
        <f>'Rail Ops'!I15+'Rail Ops'!I17</f>
        <v>1726.75</v>
      </c>
      <c r="M12" s="397">
        <f>'Rail Ops'!J15+'Rail Ops'!J17</f>
        <v>1726.75</v>
      </c>
      <c r="N12" s="397">
        <f>'Rail Ops'!K15+'Rail Ops'!K17</f>
        <v>3453.5</v>
      </c>
      <c r="O12" s="397">
        <f>'Rail Ops'!L15+'Rail Ops'!L17</f>
        <v>3425.74</v>
      </c>
      <c r="P12" s="397">
        <f>'Rail Ops'!M15+'Rail Ops'!M17</f>
        <v>3396.8696</v>
      </c>
      <c r="Q12" s="397">
        <f>'Rail Ops'!N15+'Rail Ops'!N17</f>
        <v>3366.844384</v>
      </c>
    </row>
    <row r="13" spans="1:17" ht="18" x14ac:dyDescent="0.25">
      <c r="C13" s="309" t="s">
        <v>564</v>
      </c>
      <c r="D13" s="309"/>
      <c r="E13" s="309"/>
      <c r="F13" s="309"/>
      <c r="G13" s="309"/>
      <c r="H13" s="779"/>
      <c r="I13" s="395">
        <f>I12+I11</f>
        <v>11019</v>
      </c>
      <c r="J13" s="395">
        <f t="shared" ref="J13:Q13" si="0">J12+J11</f>
        <v>10985.666666666666</v>
      </c>
      <c r="K13" s="395">
        <f t="shared" si="0"/>
        <v>13566</v>
      </c>
      <c r="L13" s="565">
        <f t="shared" ca="1" si="0"/>
        <v>6751.81</v>
      </c>
      <c r="M13" s="395">
        <f t="shared" ca="1" si="0"/>
        <v>6751.81</v>
      </c>
      <c r="N13" s="395">
        <f t="shared" ca="1" si="0"/>
        <v>13697.62</v>
      </c>
      <c r="O13" s="395">
        <f t="shared" ca="1" si="0"/>
        <v>12303.1</v>
      </c>
      <c r="P13" s="395">
        <f t="shared" ca="1" si="0"/>
        <v>12416.021600000002</v>
      </c>
      <c r="Q13" s="395">
        <f t="shared" ca="1" si="0"/>
        <v>12309.460063999999</v>
      </c>
    </row>
    <row r="14" spans="1:17" ht="18" x14ac:dyDescent="0.25">
      <c r="C14" s="309"/>
      <c r="D14" s="309"/>
      <c r="E14" s="309"/>
      <c r="F14" s="309"/>
      <c r="G14" s="309"/>
      <c r="H14" s="779"/>
      <c r="I14" s="395"/>
      <c r="J14" s="395"/>
      <c r="K14" s="395"/>
      <c r="L14" s="564"/>
      <c r="M14" s="395"/>
      <c r="N14" s="395"/>
      <c r="O14" s="395"/>
      <c r="P14" s="395"/>
      <c r="Q14" s="395"/>
    </row>
    <row r="15" spans="1:17" ht="18" hidden="1" outlineLevel="1" x14ac:dyDescent="0.25">
      <c r="C15" s="309"/>
      <c r="D15" s="309"/>
      <c r="E15" s="309"/>
      <c r="F15" s="309"/>
      <c r="G15" s="309"/>
      <c r="H15" s="782"/>
      <c r="I15" s="397">
        <f>'Sea-3 NH '!F21+'Sea-3 Tampa'!F20</f>
        <v>-600</v>
      </c>
      <c r="J15" s="396">
        <f>'Sea-3 NH '!G21+'Sea-3 Tampa'!G20</f>
        <v>-583</v>
      </c>
      <c r="K15" s="396">
        <f>'Sea-3 NH '!H21+'Sea-3 Tampa'!H20</f>
        <v>-631</v>
      </c>
      <c r="L15" s="396">
        <f>'Sea-3 NH '!I21+'Sea-3 Tampa'!I20</f>
        <v>-365.5</v>
      </c>
      <c r="M15" s="396">
        <f>'Sea-3 NH '!J21+'Sea-3 Tampa'!J20</f>
        <v>-365.5</v>
      </c>
      <c r="N15" s="396">
        <f>'Sea-3 NH '!K21+'Sea-3 Tampa'!K20</f>
        <v>-728.85333333333335</v>
      </c>
      <c r="O15" s="396">
        <f>'Sea-3 NH '!L21+'Sea-3 Tampa'!L20</f>
        <v>-758.00746666666669</v>
      </c>
      <c r="P15" s="396">
        <f>'Sea-3 NH '!M21+'Sea-3 Tampa'!M20</f>
        <v>-788.32776533333333</v>
      </c>
      <c r="Q15" s="396">
        <f>'Sea-3 NH '!N21+'Sea-3 Tampa'!N20</f>
        <v>-819.86087594666674</v>
      </c>
    </row>
    <row r="16" spans="1:17" ht="18" collapsed="1" x14ac:dyDescent="0.25">
      <c r="C16" s="309" t="s">
        <v>931</v>
      </c>
      <c r="D16" s="309"/>
      <c r="E16" s="309"/>
      <c r="F16" s="309"/>
      <c r="G16" s="309"/>
      <c r="H16" s="779"/>
      <c r="I16" s="397">
        <f>'Sea-3 NH '!F20+'Sea-3 Tampa'!F19+I15</f>
        <v>-873</v>
      </c>
      <c r="J16" s="397">
        <f>'Sea-3 NH '!G20+'Sea-3 Tampa'!G19+J15</f>
        <v>-853</v>
      </c>
      <c r="K16" s="397">
        <f>'Sea-3 NH '!H20+'Sea-3 Tampa'!H19+K15</f>
        <v>-994</v>
      </c>
      <c r="L16" s="564">
        <f>'Sea-3 NH '!I20+'Sea-3 Tampa'!I19+L15</f>
        <v>-595</v>
      </c>
      <c r="M16" s="397">
        <f>'Sea-3 NH '!J20+'Sea-3 Tampa'!J19+M15</f>
        <v>-595</v>
      </c>
      <c r="N16" s="397">
        <f>'Sea-3 NH '!K20+'Sea-3 Tampa'!K19+N15</f>
        <v>-1201.8533333333335</v>
      </c>
      <c r="O16" s="397">
        <f>'Sea-3 NH '!L20+'Sea-3 Tampa'!L19+O15</f>
        <v>-1249.9274666666665</v>
      </c>
      <c r="P16" s="397">
        <f>'Sea-3 NH '!M20+'Sea-3 Tampa'!M19+P15</f>
        <v>-1299.9245653333332</v>
      </c>
      <c r="Q16" s="397">
        <f>'Sea-3 NH '!N20+'Sea-3 Tampa'!N19+Q15</f>
        <v>-1351.9215479466668</v>
      </c>
    </row>
    <row r="17" spans="3:17" ht="18" x14ac:dyDescent="0.25">
      <c r="C17" s="171" t="s">
        <v>955</v>
      </c>
      <c r="D17" s="171"/>
      <c r="E17" s="171"/>
      <c r="F17" s="171"/>
      <c r="G17" s="171"/>
      <c r="H17" s="784"/>
      <c r="I17" s="395">
        <f>I13+I16</f>
        <v>10146</v>
      </c>
      <c r="J17" s="395">
        <f t="shared" ref="J17:Q17" si="1">J13+J16</f>
        <v>10132.666666666666</v>
      </c>
      <c r="K17" s="395">
        <f t="shared" si="1"/>
        <v>12572</v>
      </c>
      <c r="L17" s="565">
        <f t="shared" ca="1" si="1"/>
        <v>6156.81</v>
      </c>
      <c r="M17" s="395">
        <f t="shared" ca="1" si="1"/>
        <v>6156.81</v>
      </c>
      <c r="N17" s="395">
        <f t="shared" ca="1" si="1"/>
        <v>12495.766666666666</v>
      </c>
      <c r="O17" s="395">
        <f t="shared" ca="1" si="1"/>
        <v>11053.172533333334</v>
      </c>
      <c r="P17" s="395">
        <f t="shared" ca="1" si="1"/>
        <v>11116.097034666669</v>
      </c>
      <c r="Q17" s="395">
        <f t="shared" ca="1" si="1"/>
        <v>10957.538516053331</v>
      </c>
    </row>
    <row r="18" spans="3:17" ht="18" x14ac:dyDescent="0.25">
      <c r="L18" s="564"/>
    </row>
    <row r="19" spans="3:17" ht="18" x14ac:dyDescent="0.25">
      <c r="C19" s="171" t="s">
        <v>928</v>
      </c>
      <c r="D19" s="309"/>
      <c r="E19" s="309"/>
      <c r="F19" s="309"/>
      <c r="G19" s="309"/>
      <c r="H19" s="395"/>
      <c r="I19" s="395"/>
      <c r="J19" s="395"/>
      <c r="K19" s="395"/>
      <c r="L19" s="562"/>
      <c r="M19" s="459"/>
      <c r="N19" s="459"/>
      <c r="O19" s="459"/>
      <c r="P19" s="459"/>
      <c r="Q19" s="459"/>
    </row>
    <row r="20" spans="3:17" ht="18" x14ac:dyDescent="0.25">
      <c r="C20" s="309" t="s">
        <v>151</v>
      </c>
      <c r="D20" s="309"/>
      <c r="E20" s="309"/>
      <c r="F20" s="309"/>
      <c r="G20" s="309"/>
      <c r="H20" s="396"/>
      <c r="I20" s="396">
        <v>2862</v>
      </c>
      <c r="J20" s="396">
        <v>5444</v>
      </c>
      <c r="K20" s="396">
        <v>8922</v>
      </c>
      <c r="L20" s="563">
        <f>+'Valuation - DCF'!K14</f>
        <v>3591.5</v>
      </c>
      <c r="M20" s="396">
        <f>+'Valuation - DCF'!L14</f>
        <v>3591.5</v>
      </c>
      <c r="N20" s="396">
        <f>+'Valuation - DCF'!M14</f>
        <v>7470.3200000000006</v>
      </c>
      <c r="O20" s="396">
        <f>+'Valuation - DCF'!N14</f>
        <v>7769.1328000000012</v>
      </c>
      <c r="P20" s="396">
        <f>+'Valuation - DCF'!O14</f>
        <v>8079.8981120000017</v>
      </c>
      <c r="Q20" s="396">
        <f>+'Valuation - DCF'!P14</f>
        <v>8403.0940364800026</v>
      </c>
    </row>
    <row r="21" spans="3:17" ht="18" x14ac:dyDescent="0.25">
      <c r="C21" s="309" t="s">
        <v>228</v>
      </c>
      <c r="D21" s="309"/>
      <c r="E21" s="309"/>
      <c r="F21" s="309"/>
      <c r="G21" s="309"/>
      <c r="H21" s="396"/>
      <c r="I21" s="396">
        <v>3752</v>
      </c>
      <c r="J21" s="396">
        <v>3242</v>
      </c>
      <c r="K21" s="396">
        <v>10300</v>
      </c>
      <c r="L21" s="563">
        <f>+'Valuation - DCF'!K15</f>
        <v>3839.3333333333335</v>
      </c>
      <c r="M21" s="396">
        <f>+'Valuation - DCF'!L15</f>
        <v>3839.3333333333335</v>
      </c>
      <c r="N21" s="396">
        <f>+'Valuation - DCF'!M15</f>
        <v>7985.8133333333335</v>
      </c>
      <c r="O21" s="396">
        <f>+'Valuation - DCF'!N15</f>
        <v>8305.245866666668</v>
      </c>
      <c r="P21" s="396">
        <f>+'Valuation - DCF'!O15</f>
        <v>8637.4557013333342</v>
      </c>
      <c r="Q21" s="396">
        <f>+'Valuation - DCF'!P15</f>
        <v>8982.9539293866674</v>
      </c>
    </row>
    <row r="22" spans="3:17" ht="18" x14ac:dyDescent="0.25">
      <c r="C22" s="309" t="s">
        <v>227</v>
      </c>
      <c r="D22" s="309"/>
      <c r="E22" s="309"/>
      <c r="F22" s="309"/>
      <c r="G22" s="309"/>
      <c r="H22" s="396"/>
      <c r="I22" s="396">
        <f>19597-(I12+(1/3*I36))</f>
        <v>17382</v>
      </c>
      <c r="J22" s="396">
        <f>25469-(J12+(1/3*J36))</f>
        <v>22820.333333333332</v>
      </c>
      <c r="K22" s="396">
        <f>41461-(K12+(1/3*K36))</f>
        <v>38703</v>
      </c>
      <c r="L22" s="563">
        <f>+'Valuation - DCF'!K16-L12</f>
        <v>15005.75</v>
      </c>
      <c r="M22" s="396">
        <f>+'Valuation - DCF'!L16-M12</f>
        <v>15005.75</v>
      </c>
      <c r="N22" s="396">
        <f>+'Valuation - DCF'!M16-N12</f>
        <v>31350.1</v>
      </c>
      <c r="O22" s="396">
        <f>+'Valuation - DCF'!N16-O12</f>
        <v>32770.004000000001</v>
      </c>
      <c r="P22" s="396">
        <f>+'Valuation - DCF'!O16-P12</f>
        <v>34246.704160000001</v>
      </c>
      <c r="Q22" s="396">
        <f>+'Valuation - DCF'!P16-Q12</f>
        <v>35782.472326400006</v>
      </c>
    </row>
    <row r="23" spans="3:17" ht="18" x14ac:dyDescent="0.25">
      <c r="C23" s="309" t="s">
        <v>229</v>
      </c>
      <c r="D23" s="309"/>
      <c r="E23" s="309"/>
      <c r="F23" s="309"/>
      <c r="G23" s="309"/>
      <c r="H23" s="396"/>
      <c r="I23" s="396">
        <v>3158</v>
      </c>
      <c r="J23" s="396">
        <v>13391</v>
      </c>
      <c r="K23" s="396">
        <v>11615</v>
      </c>
      <c r="L23" s="563">
        <f>+'Valuation - DCF'!K17</f>
        <v>6251.5</v>
      </c>
      <c r="M23" s="396">
        <f>+'Valuation - DCF'!L17</f>
        <v>6251.5</v>
      </c>
      <c r="N23" s="396">
        <f>+'Valuation - DCF'!M17</f>
        <v>13003.12</v>
      </c>
      <c r="O23" s="396">
        <f>+'Valuation - DCF'!N17</f>
        <v>13523.2448</v>
      </c>
      <c r="P23" s="396">
        <f>+'Valuation - DCF'!O17</f>
        <v>14064.174592000001</v>
      </c>
      <c r="Q23" s="396">
        <f>+'Valuation - DCF'!P17</f>
        <v>14626.741575680002</v>
      </c>
    </row>
    <row r="24" spans="3:17" ht="18" x14ac:dyDescent="0.25">
      <c r="C24" s="309" t="s">
        <v>604</v>
      </c>
      <c r="D24" s="309"/>
      <c r="E24" s="309"/>
      <c r="F24" s="309"/>
      <c r="G24" s="309"/>
      <c r="H24" s="309"/>
      <c r="I24" s="658">
        <v>0</v>
      </c>
      <c r="J24" s="658">
        <v>0</v>
      </c>
      <c r="K24" s="658">
        <v>0</v>
      </c>
      <c r="L24" s="564">
        <f>+SUM('Valuation - DCF'!K29:K31)+'Valuation - DCF'!K27</f>
        <v>0</v>
      </c>
      <c r="M24" s="460">
        <f>+SUM('Valuation - DCF'!L29:L31)+'Valuation - DCF'!L27</f>
        <v>-2734.31</v>
      </c>
      <c r="N24" s="460">
        <f>+SUM('Valuation - DCF'!M29:M31)+'Valuation - DCF'!M27</f>
        <v>1572.1058666666668</v>
      </c>
      <c r="O24" s="460">
        <f>+SUM('Valuation - DCF'!N29:N31)+'Valuation - DCF'!N27</f>
        <v>8780.0395946666686</v>
      </c>
      <c r="P24" s="460">
        <f>+SUM('Valuation - DCF'!O29:O31)+'Valuation - DCF'!O27</f>
        <v>16165.292651520002</v>
      </c>
      <c r="Q24" s="460">
        <f>+SUM('Valuation - DCF'!P29:P31)+'Valuation - DCF'!P27</f>
        <v>23738.517889570136</v>
      </c>
    </row>
    <row r="25" spans="3:17" ht="18" x14ac:dyDescent="0.25">
      <c r="C25" s="309" t="s">
        <v>564</v>
      </c>
      <c r="D25" s="309"/>
      <c r="E25" s="309"/>
      <c r="F25" s="309"/>
      <c r="G25" s="309"/>
      <c r="H25" s="779"/>
      <c r="I25" s="395">
        <f t="shared" ref="I25:Q25" si="2">SUM(I20:I24)</f>
        <v>27154</v>
      </c>
      <c r="J25" s="395">
        <f t="shared" si="2"/>
        <v>44897.333333333328</v>
      </c>
      <c r="K25" s="395">
        <f t="shared" si="2"/>
        <v>69540</v>
      </c>
      <c r="L25" s="565">
        <f t="shared" si="2"/>
        <v>28688.083333333336</v>
      </c>
      <c r="M25" s="395">
        <f t="shared" si="2"/>
        <v>25953.773333333334</v>
      </c>
      <c r="N25" s="395">
        <f t="shared" si="2"/>
        <v>61381.459200000005</v>
      </c>
      <c r="O25" s="395">
        <f t="shared" si="2"/>
        <v>71147.667061333341</v>
      </c>
      <c r="P25" s="395">
        <f t="shared" si="2"/>
        <v>81193.525216853333</v>
      </c>
      <c r="Q25" s="395">
        <f t="shared" si="2"/>
        <v>91533.779757516822</v>
      </c>
    </row>
    <row r="26" spans="3:17" ht="18" x14ac:dyDescent="0.25">
      <c r="C26" s="309"/>
      <c r="D26" s="309"/>
      <c r="E26" s="309"/>
      <c r="F26" s="309"/>
      <c r="G26" s="309"/>
      <c r="H26" s="779"/>
      <c r="I26" s="395"/>
      <c r="J26" s="395"/>
      <c r="K26" s="395"/>
      <c r="L26" s="565"/>
      <c r="M26" s="395"/>
      <c r="N26" s="395"/>
      <c r="O26" s="395"/>
      <c r="P26" s="395"/>
      <c r="Q26" s="395"/>
    </row>
    <row r="27" spans="3:17" ht="20.25" x14ac:dyDescent="0.4">
      <c r="C27" s="309" t="s">
        <v>934</v>
      </c>
      <c r="D27" s="309"/>
      <c r="E27" s="309"/>
      <c r="F27" s="309"/>
      <c r="G27" s="309"/>
      <c r="H27" s="422"/>
      <c r="I27" s="396">
        <v>6131</v>
      </c>
      <c r="J27" s="396">
        <v>7547</v>
      </c>
      <c r="K27" s="396">
        <v>14102</v>
      </c>
      <c r="L27" s="563">
        <f>+'Valuation - DCF'!K20</f>
        <v>5412.25</v>
      </c>
      <c r="M27" s="396">
        <f>+'Valuation - DCF'!L20</f>
        <v>5412.25</v>
      </c>
      <c r="N27" s="396">
        <f>+'Valuation - DCF'!M20</f>
        <v>11257.48</v>
      </c>
      <c r="O27" s="396">
        <f>+'Valuation - DCF'!N20</f>
        <v>11707.779200000001</v>
      </c>
      <c r="P27" s="396">
        <f>+'Valuation - DCF'!O20</f>
        <v>12176.090368000001</v>
      </c>
      <c r="Q27" s="396">
        <f>+'Valuation - DCF'!P20</f>
        <v>12663.133982720001</v>
      </c>
    </row>
    <row r="28" spans="3:17" ht="18" x14ac:dyDescent="0.25">
      <c r="C28" s="309"/>
      <c r="D28" s="309"/>
      <c r="E28" s="309"/>
      <c r="F28" s="309"/>
      <c r="G28" s="309"/>
      <c r="H28" s="396"/>
      <c r="I28" s="396"/>
      <c r="J28" s="396"/>
      <c r="K28" s="396"/>
      <c r="L28" s="563"/>
      <c r="M28" s="396"/>
      <c r="N28" s="396"/>
      <c r="O28" s="396"/>
      <c r="P28" s="396"/>
      <c r="Q28" s="396"/>
    </row>
    <row r="29" spans="3:17" ht="18" hidden="1" outlineLevel="1" x14ac:dyDescent="0.25">
      <c r="C29" s="309" t="s">
        <v>428</v>
      </c>
      <c r="D29" s="309"/>
      <c r="E29" s="309"/>
      <c r="F29" s="309"/>
      <c r="G29" s="309"/>
      <c r="H29" s="309"/>
      <c r="I29" s="396">
        <f>-35664+'Misc Calcs'!E9+'Misc Calcs'!I121</f>
        <v>-29072</v>
      </c>
      <c r="J29" s="396">
        <f>'Valuation - DCF'!I23</f>
        <v>-27622</v>
      </c>
      <c r="K29" s="396">
        <f>'Valuation - DCF'!J23</f>
        <v>-29440</v>
      </c>
      <c r="L29" s="396">
        <f>'Valuation - DCF'!K23</f>
        <v>-14265.5</v>
      </c>
      <c r="M29" s="396">
        <f>'Valuation - DCF'!L23</f>
        <v>-14265.5</v>
      </c>
      <c r="N29" s="396">
        <f>'Valuation - DCF'!M23</f>
        <v>-28531</v>
      </c>
      <c r="O29" s="396">
        <f>'Valuation - DCF'!N23</f>
        <v>-28531</v>
      </c>
      <c r="P29" s="396">
        <f>'Valuation - DCF'!O23</f>
        <v>-28531</v>
      </c>
      <c r="Q29" s="396">
        <f>'Valuation - DCF'!P23</f>
        <v>-28531</v>
      </c>
    </row>
    <row r="30" spans="3:17" ht="18" hidden="1" outlineLevel="1" x14ac:dyDescent="0.25">
      <c r="C30" s="309" t="s">
        <v>429</v>
      </c>
      <c r="D30" s="309"/>
      <c r="E30" s="309"/>
      <c r="F30" s="309"/>
      <c r="G30" s="309"/>
      <c r="H30" s="309"/>
      <c r="I30" s="396">
        <f>-3563+'Misc Calcs'!E10+'Misc Calcs'!I123</f>
        <v>-3320</v>
      </c>
      <c r="J30" s="396">
        <f>'Valuation - DCF'!I24</f>
        <v>-9965</v>
      </c>
      <c r="K30" s="396">
        <f>'Valuation - DCF'!J24</f>
        <v>-19369</v>
      </c>
      <c r="L30" s="396">
        <f>'Valuation - DCF'!K24</f>
        <v>-7333.5</v>
      </c>
      <c r="M30" s="396">
        <f ca="1">'Valuation - DCF'!L24</f>
        <v>-7087.9786666666669</v>
      </c>
      <c r="N30" s="396">
        <f ca="1">'Valuation - DCF'!M24</f>
        <v>-14701.394666666669</v>
      </c>
      <c r="O30" s="396">
        <f ca="1">'Valuation - DCF'!N24</f>
        <v>-14934.145493333337</v>
      </c>
      <c r="P30" s="396">
        <f ca="1">'Valuation - DCF'!O24</f>
        <v>-15488.850833066666</v>
      </c>
      <c r="Q30" s="396">
        <f ca="1">'Valuation - DCF'!P24</f>
        <v>-16020.944386389338</v>
      </c>
    </row>
    <row r="31" spans="3:17" ht="18" collapsed="1" x14ac:dyDescent="0.25">
      <c r="C31" s="309" t="s">
        <v>931</v>
      </c>
      <c r="D31" s="309"/>
      <c r="E31" s="309"/>
      <c r="F31" s="309"/>
      <c r="G31" s="309"/>
      <c r="H31" s="779"/>
      <c r="I31" s="397">
        <f>I29+I30-I16</f>
        <v>-31519</v>
      </c>
      <c r="J31" s="397">
        <f t="shared" ref="J31:Q31" si="3">J29+J30-J16</f>
        <v>-36734</v>
      </c>
      <c r="K31" s="397">
        <f t="shared" si="3"/>
        <v>-47815</v>
      </c>
      <c r="L31" s="564">
        <f t="shared" si="3"/>
        <v>-21004</v>
      </c>
      <c r="M31" s="397">
        <f t="shared" ca="1" si="3"/>
        <v>-20758.478666666666</v>
      </c>
      <c r="N31" s="397">
        <f t="shared" ca="1" si="3"/>
        <v>-42030.541333333334</v>
      </c>
      <c r="O31" s="397">
        <f t="shared" ca="1" si="3"/>
        <v>-42215.218026666669</v>
      </c>
      <c r="P31" s="397">
        <f t="shared" ca="1" si="3"/>
        <v>-42719.926267733332</v>
      </c>
      <c r="Q31" s="397">
        <f t="shared" ca="1" si="3"/>
        <v>-43200.022838442674</v>
      </c>
    </row>
    <row r="32" spans="3:17" ht="18" x14ac:dyDescent="0.25">
      <c r="C32" s="171" t="s">
        <v>954</v>
      </c>
      <c r="D32" s="171"/>
      <c r="E32" s="171"/>
      <c r="F32" s="171"/>
      <c r="G32" s="171"/>
      <c r="H32" s="784"/>
      <c r="I32" s="395">
        <f>I25+I27+I31</f>
        <v>1766</v>
      </c>
      <c r="J32" s="395">
        <f t="shared" ref="J32:Q32" si="4">J25+J27+J31</f>
        <v>15710.333333333328</v>
      </c>
      <c r="K32" s="395">
        <f t="shared" si="4"/>
        <v>35827</v>
      </c>
      <c r="L32" s="565">
        <f t="shared" si="4"/>
        <v>13096.333333333336</v>
      </c>
      <c r="M32" s="395">
        <f t="shared" ca="1" si="4"/>
        <v>10607.544666666668</v>
      </c>
      <c r="N32" s="395">
        <f t="shared" ca="1" si="4"/>
        <v>30608.397866666674</v>
      </c>
      <c r="O32" s="395">
        <f t="shared" ca="1" si="4"/>
        <v>40640.228234666676</v>
      </c>
      <c r="P32" s="395">
        <f t="shared" ca="1" si="4"/>
        <v>50649.689317120006</v>
      </c>
      <c r="Q32" s="395">
        <f t="shared" ca="1" si="4"/>
        <v>60996.890901794148</v>
      </c>
    </row>
    <row r="33" spans="3:17" ht="18" x14ac:dyDescent="0.25">
      <c r="L33" s="564"/>
    </row>
    <row r="34" spans="3:17" ht="18" x14ac:dyDescent="0.25">
      <c r="C34" s="171" t="s">
        <v>987</v>
      </c>
      <c r="D34" s="171"/>
      <c r="E34" s="171"/>
      <c r="F34" s="171"/>
      <c r="G34" s="171"/>
      <c r="H34" s="783"/>
      <c r="I34" s="395">
        <f>I17+I32</f>
        <v>11912</v>
      </c>
      <c r="J34" s="395">
        <f>J17+J32</f>
        <v>25842.999999999993</v>
      </c>
      <c r="K34" s="395">
        <f t="shared" ref="K34:Q34" si="5">K17+K32</f>
        <v>48399</v>
      </c>
      <c r="L34" s="565">
        <f t="shared" ca="1" si="5"/>
        <v>19253.143333333337</v>
      </c>
      <c r="M34" s="395">
        <f t="shared" ca="1" si="5"/>
        <v>16764.35466666667</v>
      </c>
      <c r="N34" s="395">
        <f t="shared" ca="1" si="5"/>
        <v>43104.164533333344</v>
      </c>
      <c r="O34" s="395">
        <f t="shared" ca="1" si="5"/>
        <v>51693.400768000007</v>
      </c>
      <c r="P34" s="395">
        <f t="shared" ca="1" si="5"/>
        <v>61765.786351786679</v>
      </c>
      <c r="Q34" s="395">
        <f t="shared" ca="1" si="5"/>
        <v>71954.429417847481</v>
      </c>
    </row>
    <row r="35" spans="3:17" ht="18" x14ac:dyDescent="0.25">
      <c r="C35" s="309"/>
      <c r="D35" s="309"/>
      <c r="E35" s="309"/>
      <c r="F35" s="309"/>
      <c r="G35" s="309"/>
      <c r="H35" s="310"/>
      <c r="I35" s="310"/>
      <c r="J35" s="310"/>
      <c r="K35" s="310"/>
      <c r="L35" s="566"/>
      <c r="M35" s="309"/>
    </row>
    <row r="36" spans="3:17" ht="18" hidden="1" outlineLevel="1" x14ac:dyDescent="0.25">
      <c r="C36" s="309" t="s">
        <v>635</v>
      </c>
      <c r="D36" s="309"/>
      <c r="E36" s="309"/>
      <c r="F36" s="309"/>
      <c r="G36" s="309"/>
      <c r="H36" s="309"/>
      <c r="I36" s="397">
        <f>-I10*(3/2)</f>
        <v>-2895</v>
      </c>
      <c r="J36" s="397">
        <f>-J10*(3/2)</f>
        <v>-2146</v>
      </c>
      <c r="K36" s="397">
        <f>-K10*(3/2)</f>
        <v>-3300</v>
      </c>
      <c r="L36" s="564">
        <f ca="1">+'Valuation - DCF'!K34</f>
        <v>-1332.9317275822159</v>
      </c>
      <c r="M36" s="397">
        <f ca="1">+'Valuation - DCF'!L34</f>
        <v>-1845.0399427051036</v>
      </c>
      <c r="N36" s="397">
        <f ca="1">+'Valuation - DCF'!M34</f>
        <v>-3706.7465520768742</v>
      </c>
      <c r="O36" s="397">
        <f ca="1">+'Valuation - DCF'!N34</f>
        <v>-3723.4132187435407</v>
      </c>
      <c r="P36" s="397">
        <f ca="1">+'Valuation - DCF'!O34</f>
        <v>-3740.0798854102072</v>
      </c>
      <c r="Q36" s="397">
        <f ca="1">+'Valuation - DCF'!P34</f>
        <v>-3756.7465520768742</v>
      </c>
    </row>
    <row r="37" spans="3:17" ht="18" hidden="1" outlineLevel="1" x14ac:dyDescent="0.25">
      <c r="C37" s="309" t="s">
        <v>82</v>
      </c>
      <c r="D37" s="309"/>
      <c r="E37" s="309"/>
      <c r="F37" s="309"/>
      <c r="G37" s="309"/>
      <c r="H37" s="310"/>
      <c r="I37" s="395">
        <f>I34+I36</f>
        <v>9017</v>
      </c>
      <c r="J37" s="395">
        <f t="shared" ref="J37:Q37" si="6">J34+J36</f>
        <v>23696.999999999993</v>
      </c>
      <c r="K37" s="395">
        <f t="shared" si="6"/>
        <v>45099</v>
      </c>
      <c r="L37" s="395">
        <f t="shared" ca="1" si="6"/>
        <v>17920.211605751123</v>
      </c>
      <c r="M37" s="395">
        <f t="shared" ca="1" si="6"/>
        <v>14919.314723961566</v>
      </c>
      <c r="N37" s="395">
        <f t="shared" ca="1" si="6"/>
        <v>39397.417981256469</v>
      </c>
      <c r="O37" s="395">
        <f t="shared" ca="1" si="6"/>
        <v>47969.987549256468</v>
      </c>
      <c r="P37" s="395">
        <f t="shared" ca="1" si="6"/>
        <v>58025.706466376469</v>
      </c>
      <c r="Q37" s="395">
        <f t="shared" ca="1" si="6"/>
        <v>68197.682865770606</v>
      </c>
    </row>
    <row r="38" spans="3:17" ht="18" hidden="1" outlineLevel="1" x14ac:dyDescent="0.25">
      <c r="C38" s="309"/>
      <c r="D38" s="309"/>
      <c r="E38" s="309"/>
      <c r="F38" s="309"/>
      <c r="G38" s="309"/>
      <c r="H38" s="310"/>
      <c r="I38" s="395"/>
      <c r="J38" s="395"/>
      <c r="K38" s="395"/>
      <c r="L38" s="565"/>
      <c r="M38" s="309"/>
    </row>
    <row r="39" spans="3:17" ht="18" hidden="1" outlineLevel="1" x14ac:dyDescent="0.25">
      <c r="C39" s="309" t="s">
        <v>811</v>
      </c>
      <c r="D39" s="309"/>
      <c r="E39" s="309"/>
      <c r="F39" s="309"/>
      <c r="G39" s="309"/>
      <c r="H39" s="310"/>
      <c r="I39" s="397">
        <v>-1547</v>
      </c>
      <c r="J39" s="397">
        <v>-3148</v>
      </c>
      <c r="K39" s="397">
        <v>-7978</v>
      </c>
      <c r="L39" s="564">
        <f>+'Valuation - DCF'!K36</f>
        <v>-6097.5749999999998</v>
      </c>
      <c r="M39" s="397">
        <f>+'Valuation - DCF'!L36</f>
        <v>-6765</v>
      </c>
      <c r="N39" s="397">
        <f>+'Valuation - DCF'!M36</f>
        <v>-13530</v>
      </c>
      <c r="O39" s="397">
        <f>+'Valuation - DCF'!N36</f>
        <v>-13530</v>
      </c>
      <c r="P39" s="397">
        <f>+'Valuation - DCF'!O36</f>
        <v>-13530</v>
      </c>
      <c r="Q39" s="397">
        <f>+'Valuation - DCF'!P36</f>
        <v>-13530</v>
      </c>
    </row>
    <row r="40" spans="3:17" ht="18" hidden="1" outlineLevel="1" x14ac:dyDescent="0.25">
      <c r="C40" s="309" t="s">
        <v>431</v>
      </c>
      <c r="D40" s="309"/>
      <c r="E40" s="309"/>
      <c r="F40" s="309"/>
      <c r="G40" s="309"/>
      <c r="H40" s="310"/>
      <c r="I40" s="395">
        <f t="shared" ref="I40:Q40" si="7">+I37+I39</f>
        <v>7470</v>
      </c>
      <c r="J40" s="395">
        <f t="shared" si="7"/>
        <v>20548.999999999993</v>
      </c>
      <c r="K40" s="395">
        <f t="shared" si="7"/>
        <v>37121</v>
      </c>
      <c r="L40" s="565">
        <f t="shared" ca="1" si="7"/>
        <v>11822.636605751122</v>
      </c>
      <c r="M40" s="395">
        <f t="shared" ca="1" si="7"/>
        <v>8154.3147239615664</v>
      </c>
      <c r="N40" s="395">
        <f t="shared" ca="1" si="7"/>
        <v>25867.417981256469</v>
      </c>
      <c r="O40" s="395">
        <f t="shared" ca="1" si="7"/>
        <v>34439.987549256468</v>
      </c>
      <c r="P40" s="395">
        <f t="shared" ca="1" si="7"/>
        <v>44495.706466376469</v>
      </c>
      <c r="Q40" s="395">
        <f t="shared" ca="1" si="7"/>
        <v>54667.682865770606</v>
      </c>
    </row>
    <row r="41" spans="3:17" ht="18" hidden="1" outlineLevel="1" x14ac:dyDescent="0.25">
      <c r="C41" s="309"/>
      <c r="D41" s="309"/>
      <c r="E41" s="309"/>
      <c r="F41" s="309"/>
      <c r="G41" s="309"/>
      <c r="H41" s="310"/>
      <c r="I41" s="395"/>
      <c r="J41" s="395"/>
      <c r="K41" s="395"/>
      <c r="L41" s="565"/>
      <c r="M41" s="309"/>
    </row>
    <row r="42" spans="3:17" ht="18" hidden="1" outlineLevel="1" x14ac:dyDescent="0.25">
      <c r="C42" s="309" t="s">
        <v>432</v>
      </c>
      <c r="D42" s="309"/>
      <c r="E42" s="309"/>
      <c r="F42" s="309"/>
      <c r="G42" s="309"/>
      <c r="H42" s="310"/>
      <c r="I42" s="397">
        <v>-500</v>
      </c>
      <c r="J42" s="397">
        <v>-1436</v>
      </c>
      <c r="K42" s="397">
        <v>-2403</v>
      </c>
      <c r="L42" s="564">
        <f ca="1">+'Valuation - DCF'!K37</f>
        <v>-4137.9228120128901</v>
      </c>
      <c r="M42" s="397">
        <f ca="1">+'Valuation - DCF'!L37</f>
        <v>-2854.0101533865468</v>
      </c>
      <c r="N42" s="397">
        <f ca="1">+'Valuation - DCF'!M37</f>
        <v>-9053.5962934397612</v>
      </c>
      <c r="O42" s="397">
        <f ca="1">+'Valuation - DCF'!N37</f>
        <v>-12053.995642239763</v>
      </c>
      <c r="P42" s="397">
        <f ca="1">+'Valuation - DCF'!O37</f>
        <v>-15573.49726323176</v>
      </c>
      <c r="Q42" s="397">
        <f ca="1">+'Valuation - DCF'!P37</f>
        <v>-19133.689003019706</v>
      </c>
    </row>
    <row r="43" spans="3:17" ht="18" hidden="1" outlineLevel="1" x14ac:dyDescent="0.25">
      <c r="C43" s="309" t="s">
        <v>86</v>
      </c>
      <c r="D43" s="309"/>
      <c r="E43" s="309"/>
      <c r="F43" s="309"/>
      <c r="G43" s="309"/>
      <c r="H43" s="310"/>
      <c r="I43" s="398">
        <f t="shared" ref="I43:Q43" si="8">SUM(I40:I42)</f>
        <v>6970</v>
      </c>
      <c r="J43" s="398">
        <f t="shared" si="8"/>
        <v>19112.999999999993</v>
      </c>
      <c r="K43" s="398">
        <f t="shared" si="8"/>
        <v>34718</v>
      </c>
      <c r="L43" s="568">
        <f t="shared" ca="1" si="8"/>
        <v>7684.7137937382322</v>
      </c>
      <c r="M43" s="398">
        <f t="shared" ca="1" si="8"/>
        <v>5300.3045705750192</v>
      </c>
      <c r="N43" s="398">
        <f t="shared" ca="1" si="8"/>
        <v>16813.821687816708</v>
      </c>
      <c r="O43" s="398">
        <f t="shared" ca="1" si="8"/>
        <v>22385.991907016705</v>
      </c>
      <c r="P43" s="398">
        <f t="shared" ca="1" si="8"/>
        <v>28922.20920314471</v>
      </c>
      <c r="Q43" s="398">
        <f t="shared" ca="1" si="8"/>
        <v>35533.993862750896</v>
      </c>
    </row>
    <row r="44" spans="3:17" hidden="1" outlineLevel="1" x14ac:dyDescent="0.2"/>
    <row r="45" spans="3:17" hidden="1" outlineLevel="1" x14ac:dyDescent="0.2"/>
    <row r="46" spans="3:17" collapsed="1" x14ac:dyDescent="0.2"/>
    <row r="47" spans="3:17" x14ac:dyDescent="0.2">
      <c r="C47" s="298" t="s">
        <v>932</v>
      </c>
    </row>
  </sheetData>
  <printOptions horizontalCentered="1"/>
  <pageMargins left="0.75" right="0.75" top="0.53" bottom="1" header="0.5" footer="0.5"/>
  <pageSetup scale="60" orientation="landscape" verticalDpi="200" r:id="rId1"/>
  <headerFooter alignWithMargins="0">
    <oddFooter>&amp;L&amp;7&amp;D &amp;T&amp;C&amp;8&amp;P&amp;R&amp;7o:/Corpdev/North America/Raul/Ammonia/&amp;F</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56"/>
  <sheetViews>
    <sheetView topLeftCell="C3" zoomScale="85" workbookViewId="0">
      <selection activeCell="B33" sqref="B33"/>
    </sheetView>
  </sheetViews>
  <sheetFormatPr defaultRowHeight="12.75" x14ac:dyDescent="0.2"/>
  <cols>
    <col min="1" max="1" width="6" customWidth="1"/>
    <col min="2" max="2" width="10.140625" customWidth="1"/>
    <col min="3" max="3" width="15.140625" customWidth="1"/>
    <col min="4" max="4" width="12" bestFit="1" customWidth="1"/>
    <col min="5" max="5" width="2" style="110" customWidth="1"/>
    <col min="7" max="7" width="10.5703125" bestFit="1" customWidth="1"/>
    <col min="9" max="9" width="8.5703125" customWidth="1"/>
    <col min="10" max="10" width="8.85546875" bestFit="1" customWidth="1"/>
    <col min="11" max="11" width="9.5703125" customWidth="1"/>
    <col min="13" max="13" width="9" bestFit="1" customWidth="1"/>
    <col min="14" max="14" width="9.28515625" customWidth="1"/>
    <col min="15" max="15" width="10" customWidth="1"/>
    <col min="16" max="18" width="9.5703125" customWidth="1"/>
    <col min="20" max="21" width="8.85546875" customWidth="1"/>
  </cols>
  <sheetData>
    <row r="1" spans="1:21" ht="21" thickBot="1" x14ac:dyDescent="0.35">
      <c r="A1" s="365" t="s">
        <v>518</v>
      </c>
      <c r="B1" s="343"/>
      <c r="C1" s="343"/>
      <c r="D1" s="344"/>
      <c r="E1" s="344"/>
      <c r="F1" s="344"/>
      <c r="G1" s="360"/>
      <c r="H1" s="360"/>
      <c r="I1" s="360"/>
      <c r="J1" s="360"/>
      <c r="K1" s="360"/>
      <c r="L1" s="360"/>
      <c r="M1" s="360"/>
      <c r="N1" s="360"/>
      <c r="O1" s="360"/>
      <c r="P1" s="360"/>
      <c r="Q1" s="360"/>
      <c r="R1" s="360"/>
      <c r="S1" s="360"/>
      <c r="T1" s="360"/>
      <c r="U1" s="774" t="s">
        <v>664</v>
      </c>
    </row>
    <row r="2" spans="1:21" ht="26.25" x14ac:dyDescent="0.4">
      <c r="A2" s="358"/>
      <c r="B2" s="338"/>
      <c r="C2" s="338"/>
      <c r="D2" s="337"/>
      <c r="E2" s="337"/>
      <c r="F2" s="337"/>
      <c r="G2" s="359"/>
      <c r="U2" s="588" t="s">
        <v>659</v>
      </c>
    </row>
    <row r="3" spans="1:21" ht="26.25" x14ac:dyDescent="0.4">
      <c r="A3" s="358"/>
      <c r="B3" s="338"/>
      <c r="C3" s="338"/>
      <c r="D3" s="337"/>
      <c r="E3" s="337"/>
      <c r="F3" s="647"/>
      <c r="G3" s="648"/>
    </row>
    <row r="4" spans="1:21" ht="26.25" x14ac:dyDescent="0.4">
      <c r="A4" s="358"/>
      <c r="B4" s="338"/>
      <c r="C4" s="338"/>
      <c r="D4" s="337"/>
      <c r="E4" s="337"/>
      <c r="F4" s="337"/>
      <c r="G4" s="359"/>
    </row>
    <row r="5" spans="1:21" x14ac:dyDescent="0.2">
      <c r="B5" s="80" t="s">
        <v>797</v>
      </c>
    </row>
    <row r="7" spans="1:21" x14ac:dyDescent="0.2">
      <c r="D7" s="149" t="s">
        <v>463</v>
      </c>
      <c r="F7" s="409">
        <v>36160</v>
      </c>
      <c r="G7" s="409">
        <v>36525</v>
      </c>
      <c r="H7" s="409">
        <v>36891</v>
      </c>
      <c r="I7" s="409">
        <v>37073</v>
      </c>
      <c r="J7" s="409">
        <v>37256</v>
      </c>
      <c r="K7" s="409">
        <v>37621</v>
      </c>
      <c r="L7" s="409">
        <v>37986</v>
      </c>
      <c r="M7" s="409">
        <v>38352</v>
      </c>
      <c r="N7" s="409">
        <v>38717</v>
      </c>
      <c r="O7" s="409">
        <v>39082</v>
      </c>
      <c r="P7" s="409">
        <v>39447</v>
      </c>
      <c r="Q7" s="409">
        <v>39813</v>
      </c>
      <c r="R7" s="409">
        <v>40178</v>
      </c>
      <c r="S7" s="409">
        <v>40543</v>
      </c>
      <c r="T7" s="409">
        <v>40908</v>
      </c>
      <c r="U7" s="409">
        <v>40909</v>
      </c>
    </row>
    <row r="8" spans="1:21" x14ac:dyDescent="0.2">
      <c r="A8" t="s">
        <v>464</v>
      </c>
      <c r="F8" s="169">
        <v>51</v>
      </c>
      <c r="G8" s="169">
        <v>51</v>
      </c>
      <c r="H8" s="169">
        <v>51</v>
      </c>
      <c r="I8" s="169">
        <f>+J8</f>
        <v>51</v>
      </c>
      <c r="J8" s="169">
        <v>51</v>
      </c>
      <c r="K8" s="169">
        <v>51</v>
      </c>
      <c r="L8" s="169">
        <v>51</v>
      </c>
      <c r="M8" s="169">
        <v>51</v>
      </c>
      <c r="N8" s="169">
        <v>51</v>
      </c>
      <c r="O8" s="169">
        <v>51</v>
      </c>
      <c r="P8" s="169">
        <v>51</v>
      </c>
      <c r="Q8" s="169">
        <v>51</v>
      </c>
      <c r="R8" s="169">
        <v>51</v>
      </c>
      <c r="S8" s="169">
        <v>51</v>
      </c>
      <c r="T8" s="169">
        <v>51</v>
      </c>
      <c r="U8" s="454"/>
    </row>
    <row r="9" spans="1:21" x14ac:dyDescent="0.2">
      <c r="A9" t="s">
        <v>465</v>
      </c>
      <c r="E9" s="257"/>
      <c r="F9" s="290">
        <f t="shared" ref="F9:N9" ca="1" si="0">F10/F8</f>
        <v>3.2745098039215685</v>
      </c>
      <c r="G9" s="290">
        <f t="shared" ca="1" si="0"/>
        <v>3.3725490196078431</v>
      </c>
      <c r="H9" s="290">
        <f t="shared" si="0"/>
        <v>4.6554514320123443</v>
      </c>
      <c r="I9" s="290">
        <f t="shared" ca="1" si="0"/>
        <v>2.0070001129050468</v>
      </c>
      <c r="J9" s="290">
        <f t="shared" ca="1" si="0"/>
        <v>2.0070001129050468</v>
      </c>
      <c r="K9" s="290">
        <f t="shared" ca="1" si="0"/>
        <v>4.0140002258100935</v>
      </c>
      <c r="L9" s="290">
        <f t="shared" ca="1" si="0"/>
        <v>4.0140002258100935</v>
      </c>
      <c r="M9" s="290">
        <f t="shared" ca="1" si="0"/>
        <v>4.0140002258100935</v>
      </c>
      <c r="N9" s="290">
        <f t="shared" ca="1" si="0"/>
        <v>4.0140002258100935</v>
      </c>
      <c r="O9" s="290">
        <f t="shared" ref="O9:T9" ca="1" si="1">O10/O8</f>
        <v>4.0140002258100935</v>
      </c>
      <c r="P9" s="290">
        <f t="shared" ca="1" si="1"/>
        <v>4.0140002258100935</v>
      </c>
      <c r="Q9" s="290">
        <f t="shared" ca="1" si="1"/>
        <v>4.0140002258100935</v>
      </c>
      <c r="R9" s="290">
        <f t="shared" ca="1" si="1"/>
        <v>4.0140002258100935</v>
      </c>
      <c r="S9" s="290">
        <f t="shared" ca="1" si="1"/>
        <v>4.0140002258100935</v>
      </c>
      <c r="T9" s="290">
        <f t="shared" ca="1" si="1"/>
        <v>4.0140002258100935</v>
      </c>
      <c r="U9" s="454"/>
    </row>
    <row r="10" spans="1:21" x14ac:dyDescent="0.2">
      <c r="A10" t="s">
        <v>802</v>
      </c>
      <c r="F10" s="259">
        <f t="shared" ref="F10:K10" ca="1" si="2">+F11/521</f>
        <v>167</v>
      </c>
      <c r="G10" s="259">
        <f t="shared" ca="1" si="2"/>
        <v>172</v>
      </c>
      <c r="H10" s="259">
        <f t="shared" si="2"/>
        <v>237.42802303262957</v>
      </c>
      <c r="I10" s="259">
        <f t="shared" ca="1" si="2"/>
        <v>102.35700575815738</v>
      </c>
      <c r="J10" s="259">
        <f t="shared" ca="1" si="2"/>
        <v>102.35700575815738</v>
      </c>
      <c r="K10" s="259">
        <f t="shared" ca="1" si="2"/>
        <v>204.71401151631477</v>
      </c>
      <c r="L10" s="259">
        <f t="shared" ref="L10:T10" ca="1" si="3">+L11/521</f>
        <v>204.71401151631477</v>
      </c>
      <c r="M10" s="259">
        <f t="shared" ca="1" si="3"/>
        <v>204.71401151631477</v>
      </c>
      <c r="N10" s="259">
        <f t="shared" ca="1" si="3"/>
        <v>204.71401151631477</v>
      </c>
      <c r="O10" s="259">
        <f t="shared" ca="1" si="3"/>
        <v>204.71401151631477</v>
      </c>
      <c r="P10" s="259">
        <f t="shared" ca="1" si="3"/>
        <v>204.71401151631477</v>
      </c>
      <c r="Q10" s="259">
        <f t="shared" ca="1" si="3"/>
        <v>204.71401151631477</v>
      </c>
      <c r="R10" s="259">
        <f t="shared" ca="1" si="3"/>
        <v>204.71401151631477</v>
      </c>
      <c r="S10" s="259">
        <f t="shared" ca="1" si="3"/>
        <v>204.71401151631477</v>
      </c>
      <c r="T10" s="259">
        <f t="shared" ca="1" si="3"/>
        <v>204.71401151631477</v>
      </c>
      <c r="U10" s="454"/>
    </row>
    <row r="11" spans="1:21" x14ac:dyDescent="0.2">
      <c r="A11" t="s">
        <v>801</v>
      </c>
      <c r="F11" s="169">
        <f ca="1">+F10*521</f>
        <v>87007</v>
      </c>
      <c r="G11" s="169">
        <f ca="1">+G10*521</f>
        <v>89612</v>
      </c>
      <c r="H11" s="169">
        <v>123700</v>
      </c>
      <c r="I11" s="169">
        <f ca="1">AVERAGE(G11:H11)/2</f>
        <v>53328</v>
      </c>
      <c r="J11" s="169">
        <f ca="1">+I11</f>
        <v>53328</v>
      </c>
      <c r="K11" s="169">
        <f ca="1">AVERAGE(G11:H11)</f>
        <v>106656</v>
      </c>
      <c r="L11" s="169">
        <f ca="1">+K11</f>
        <v>106656</v>
      </c>
      <c r="M11" s="169">
        <f t="shared" ref="M11:T11" ca="1" si="4">+L11</f>
        <v>106656</v>
      </c>
      <c r="N11" s="169">
        <f t="shared" ca="1" si="4"/>
        <v>106656</v>
      </c>
      <c r="O11" s="169">
        <f t="shared" ca="1" si="4"/>
        <v>106656</v>
      </c>
      <c r="P11" s="169">
        <f t="shared" ca="1" si="4"/>
        <v>106656</v>
      </c>
      <c r="Q11" s="169">
        <f t="shared" ca="1" si="4"/>
        <v>106656</v>
      </c>
      <c r="R11" s="169">
        <f t="shared" ca="1" si="4"/>
        <v>106656</v>
      </c>
      <c r="S11" s="169">
        <f t="shared" ca="1" si="4"/>
        <v>106656</v>
      </c>
      <c r="T11" s="169">
        <f t="shared" ca="1" si="4"/>
        <v>106656</v>
      </c>
    </row>
    <row r="12" spans="1:21" x14ac:dyDescent="0.2">
      <c r="F12" s="169"/>
      <c r="G12" s="169"/>
      <c r="H12" s="169"/>
      <c r="I12" s="169"/>
      <c r="J12" s="169"/>
      <c r="K12" s="169"/>
      <c r="L12" s="169"/>
      <c r="M12" s="169"/>
      <c r="N12" s="169"/>
      <c r="O12" s="169"/>
      <c r="P12" s="169"/>
      <c r="Q12" s="169"/>
      <c r="R12" s="169"/>
      <c r="S12" s="169"/>
      <c r="T12" s="169"/>
    </row>
    <row r="13" spans="1:21" x14ac:dyDescent="0.2">
      <c r="A13" t="s">
        <v>577</v>
      </c>
      <c r="F13" s="649">
        <v>0.1023</v>
      </c>
      <c r="G13" s="649">
        <v>9.9399999999999988E-2</v>
      </c>
      <c r="H13" s="649">
        <v>8.3299999999999999E-2</v>
      </c>
      <c r="I13" s="649">
        <v>8.3299999999999999E-2</v>
      </c>
      <c r="J13" s="649">
        <v>8.2500000000000004E-2</v>
      </c>
      <c r="K13" s="649">
        <f>(+J13)</f>
        <v>8.2500000000000004E-2</v>
      </c>
      <c r="L13" s="649">
        <v>7.2499999999999995E-2</v>
      </c>
      <c r="M13" s="649">
        <f t="shared" ref="M13:T13" si="5">(+L13)</f>
        <v>7.2499999999999995E-2</v>
      </c>
      <c r="N13" s="649">
        <f t="shared" si="5"/>
        <v>7.2499999999999995E-2</v>
      </c>
      <c r="O13" s="649">
        <f t="shared" si="5"/>
        <v>7.2499999999999995E-2</v>
      </c>
      <c r="P13" s="649">
        <f t="shared" si="5"/>
        <v>7.2499999999999995E-2</v>
      </c>
      <c r="Q13" s="649">
        <f t="shared" si="5"/>
        <v>7.2499999999999995E-2</v>
      </c>
      <c r="R13" s="649">
        <f t="shared" si="5"/>
        <v>7.2499999999999995E-2</v>
      </c>
      <c r="S13" s="649">
        <f t="shared" si="5"/>
        <v>7.2499999999999995E-2</v>
      </c>
      <c r="T13" s="649">
        <f t="shared" si="5"/>
        <v>7.2499999999999995E-2</v>
      </c>
    </row>
    <row r="14" spans="1:21" x14ac:dyDescent="0.2">
      <c r="F14" s="259"/>
      <c r="G14" s="259"/>
      <c r="H14" s="259"/>
      <c r="I14" s="259"/>
      <c r="J14" s="259"/>
      <c r="K14" s="259"/>
      <c r="L14" s="259"/>
      <c r="M14" s="259"/>
      <c r="N14" s="259"/>
      <c r="O14" s="259"/>
      <c r="P14" s="259"/>
      <c r="Q14" s="259"/>
      <c r="R14" s="259"/>
      <c r="S14" s="259"/>
      <c r="T14" s="259"/>
    </row>
    <row r="15" spans="1:21" x14ac:dyDescent="0.2">
      <c r="A15" t="s">
        <v>956</v>
      </c>
      <c r="F15" s="332">
        <f t="shared" ref="F15:T15" ca="1" si="6">+F11*F13</f>
        <v>8900.8161</v>
      </c>
      <c r="G15" s="332">
        <f t="shared" ca="1" si="6"/>
        <v>8907.4327999999987</v>
      </c>
      <c r="H15" s="332">
        <f t="shared" si="6"/>
        <v>10304.209999999999</v>
      </c>
      <c r="I15" s="332">
        <f t="shared" ca="1" si="6"/>
        <v>4442.2223999999997</v>
      </c>
      <c r="J15" s="332">
        <f t="shared" ca="1" si="6"/>
        <v>4399.5600000000004</v>
      </c>
      <c r="K15" s="332">
        <f t="shared" ca="1" si="6"/>
        <v>8799.1200000000008</v>
      </c>
      <c r="L15" s="332">
        <f t="shared" ca="1" si="6"/>
        <v>7732.5599999999995</v>
      </c>
      <c r="M15" s="332">
        <f t="shared" ca="1" si="6"/>
        <v>7732.5599999999995</v>
      </c>
      <c r="N15" s="332">
        <f t="shared" ca="1" si="6"/>
        <v>7732.5599999999995</v>
      </c>
      <c r="O15" s="332">
        <f t="shared" ca="1" si="6"/>
        <v>7732.5599999999995</v>
      </c>
      <c r="P15" s="332">
        <f t="shared" ca="1" si="6"/>
        <v>7732.5599999999995</v>
      </c>
      <c r="Q15" s="332">
        <f t="shared" ca="1" si="6"/>
        <v>7732.5599999999995</v>
      </c>
      <c r="R15" s="332">
        <f t="shared" ca="1" si="6"/>
        <v>7732.5599999999995</v>
      </c>
      <c r="S15" s="332">
        <f t="shared" ca="1" si="6"/>
        <v>7732.5599999999995</v>
      </c>
      <c r="T15" s="332">
        <f t="shared" ca="1" si="6"/>
        <v>7732.5599999999995</v>
      </c>
      <c r="U15" s="332"/>
    </row>
    <row r="16" spans="1:21" x14ac:dyDescent="0.2">
      <c r="A16" t="s">
        <v>957</v>
      </c>
      <c r="F16" s="332">
        <v>403</v>
      </c>
      <c r="G16" s="332">
        <v>779</v>
      </c>
      <c r="H16" s="332">
        <v>150</v>
      </c>
      <c r="I16" s="332">
        <f>110/2</f>
        <v>55</v>
      </c>
      <c r="J16" s="332">
        <f>110/2</f>
        <v>55</v>
      </c>
      <c r="K16" s="332">
        <v>50</v>
      </c>
      <c r="L16" s="332">
        <v>50</v>
      </c>
      <c r="M16" s="332">
        <v>50</v>
      </c>
      <c r="N16" s="332">
        <v>50</v>
      </c>
      <c r="O16" s="332">
        <v>50</v>
      </c>
      <c r="P16" s="332">
        <v>50</v>
      </c>
      <c r="Q16" s="332">
        <v>50</v>
      </c>
      <c r="R16" s="332">
        <v>50</v>
      </c>
      <c r="S16" s="332">
        <v>50</v>
      </c>
      <c r="T16" s="332">
        <v>50</v>
      </c>
      <c r="U16" s="332"/>
    </row>
    <row r="17" spans="1:21" x14ac:dyDescent="0.2">
      <c r="A17" t="s">
        <v>958</v>
      </c>
      <c r="D17" s="646">
        <f>+D20</f>
        <v>0.04</v>
      </c>
      <c r="F17" s="427">
        <v>-2954</v>
      </c>
      <c r="G17" s="427">
        <v>-3311</v>
      </c>
      <c r="H17" s="427">
        <v>-3092</v>
      </c>
      <c r="I17" s="427">
        <f>-3169/2</f>
        <v>-1584.5</v>
      </c>
      <c r="J17" s="427">
        <f>-3169/2</f>
        <v>-1584.5</v>
      </c>
      <c r="K17" s="427">
        <v>-3264</v>
      </c>
      <c r="L17" s="427">
        <f>K17*(1+$D$20)</f>
        <v>-3394.56</v>
      </c>
      <c r="M17" s="427">
        <f t="shared" ref="M17:T17" si="7">L17*(1+$D$20)</f>
        <v>-3530.3424</v>
      </c>
      <c r="N17" s="427">
        <f t="shared" si="7"/>
        <v>-3671.5560960000003</v>
      </c>
      <c r="O17" s="427">
        <f t="shared" si="7"/>
        <v>-3818.4183398400005</v>
      </c>
      <c r="P17" s="427">
        <f t="shared" si="7"/>
        <v>-3971.1550734336006</v>
      </c>
      <c r="Q17" s="427">
        <f t="shared" si="7"/>
        <v>-4130.0012763709447</v>
      </c>
      <c r="R17" s="427">
        <f t="shared" si="7"/>
        <v>-4295.2013274257824</v>
      </c>
      <c r="S17" s="427">
        <f t="shared" si="7"/>
        <v>-4467.0093805228134</v>
      </c>
      <c r="T17" s="427">
        <f t="shared" si="7"/>
        <v>-4645.689755743726</v>
      </c>
      <c r="U17" s="332"/>
    </row>
    <row r="18" spans="1:21" x14ac:dyDescent="0.2">
      <c r="A18" t="s">
        <v>795</v>
      </c>
      <c r="F18" s="332">
        <f ca="1">SUM(F15:F17)</f>
        <v>6349.8161</v>
      </c>
      <c r="G18" s="332">
        <f t="shared" ref="G18:T18" ca="1" si="8">SUM(G15:G17)</f>
        <v>6375.4327999999987</v>
      </c>
      <c r="H18" s="332">
        <f t="shared" si="8"/>
        <v>7362.2099999999991</v>
      </c>
      <c r="I18" s="332">
        <f t="shared" ca="1" si="8"/>
        <v>2912.7223999999997</v>
      </c>
      <c r="J18" s="332">
        <f t="shared" ca="1" si="8"/>
        <v>2870.0600000000004</v>
      </c>
      <c r="K18" s="332">
        <f t="shared" ca="1" si="8"/>
        <v>5585.1200000000008</v>
      </c>
      <c r="L18" s="332">
        <f t="shared" ca="1" si="8"/>
        <v>4388</v>
      </c>
      <c r="M18" s="332">
        <f t="shared" ca="1" si="8"/>
        <v>4252.2175999999999</v>
      </c>
      <c r="N18" s="332">
        <f t="shared" ca="1" si="8"/>
        <v>4111.0039039999992</v>
      </c>
      <c r="O18" s="332">
        <f t="shared" ca="1" si="8"/>
        <v>3964.141660159999</v>
      </c>
      <c r="P18" s="332">
        <f t="shared" ca="1" si="8"/>
        <v>3811.4049265663989</v>
      </c>
      <c r="Q18" s="332">
        <f t="shared" ca="1" si="8"/>
        <v>3652.5587236290548</v>
      </c>
      <c r="R18" s="332">
        <f t="shared" ca="1" si="8"/>
        <v>3487.3586725742171</v>
      </c>
      <c r="S18" s="332">
        <f t="shared" ca="1" si="8"/>
        <v>3315.550619477186</v>
      </c>
      <c r="T18" s="332">
        <f t="shared" ca="1" si="8"/>
        <v>3136.8702442562735</v>
      </c>
      <c r="U18" s="332"/>
    </row>
    <row r="19" spans="1:21" x14ac:dyDescent="0.2">
      <c r="F19" s="332"/>
      <c r="G19" s="332"/>
      <c r="H19" s="332"/>
      <c r="I19" s="332"/>
      <c r="J19" s="332"/>
      <c r="K19" s="332"/>
      <c r="L19" s="332"/>
      <c r="M19" s="332"/>
      <c r="N19" s="332"/>
      <c r="O19" s="332"/>
      <c r="P19" s="332"/>
      <c r="Q19" s="332"/>
      <c r="R19" s="332"/>
      <c r="S19" s="332"/>
      <c r="T19" s="332"/>
      <c r="U19" s="332"/>
    </row>
    <row r="20" spans="1:21" x14ac:dyDescent="0.2">
      <c r="A20" t="s">
        <v>244</v>
      </c>
      <c r="D20" s="646">
        <v>0.04</v>
      </c>
      <c r="F20" s="438">
        <v>-273</v>
      </c>
      <c r="G20" s="438">
        <v>-270</v>
      </c>
      <c r="H20" s="438">
        <v>-269</v>
      </c>
      <c r="I20" s="438">
        <f>H20/2</f>
        <v>-134.5</v>
      </c>
      <c r="J20" s="438">
        <f>+H20/2</f>
        <v>-134.5</v>
      </c>
      <c r="K20" s="438">
        <v>-277</v>
      </c>
      <c r="L20" s="438">
        <f>K20*(1+$D$20)</f>
        <v>-288.08</v>
      </c>
      <c r="M20" s="438">
        <f>L20*(1+$D$20)</f>
        <v>-299.60320000000002</v>
      </c>
      <c r="N20" s="438">
        <f t="shared" ref="N20:T21" si="9">M20*(1+$D$20)</f>
        <v>-311.58732800000001</v>
      </c>
      <c r="O20" s="438">
        <f t="shared" si="9"/>
        <v>-324.05082112000002</v>
      </c>
      <c r="P20" s="438">
        <f t="shared" si="9"/>
        <v>-337.01285396480006</v>
      </c>
      <c r="Q20" s="438">
        <f t="shared" si="9"/>
        <v>-350.49336812339209</v>
      </c>
      <c r="R20" s="438">
        <f t="shared" si="9"/>
        <v>-364.51310284832778</v>
      </c>
      <c r="S20" s="438">
        <f t="shared" si="9"/>
        <v>-379.09362696226088</v>
      </c>
      <c r="T20" s="438">
        <f t="shared" si="9"/>
        <v>-394.25737204075131</v>
      </c>
      <c r="U20" s="332"/>
    </row>
    <row r="21" spans="1:21" x14ac:dyDescent="0.2">
      <c r="A21" t="s">
        <v>234</v>
      </c>
      <c r="D21" s="616"/>
      <c r="F21" s="437">
        <v>-600</v>
      </c>
      <c r="G21" s="437">
        <v>-583</v>
      </c>
      <c r="H21" s="437">
        <v>-631</v>
      </c>
      <c r="I21" s="437">
        <f>H21/2</f>
        <v>-315.5</v>
      </c>
      <c r="J21" s="437">
        <f>+H21/2</f>
        <v>-315.5</v>
      </c>
      <c r="K21" s="437">
        <f>AVERAGE(F21:H21)*(1+$D$20)</f>
        <v>-628.85333333333335</v>
      </c>
      <c r="L21" s="437">
        <f>K21*(1+$D$20)</f>
        <v>-654.00746666666669</v>
      </c>
      <c r="M21" s="437">
        <f>L21*(1+$D$20)</f>
        <v>-680.16776533333336</v>
      </c>
      <c r="N21" s="437">
        <f t="shared" si="9"/>
        <v>-707.37447594666673</v>
      </c>
      <c r="O21" s="437">
        <f t="shared" si="9"/>
        <v>-735.66945498453344</v>
      </c>
      <c r="P21" s="437">
        <f t="shared" si="9"/>
        <v>-765.09623318391482</v>
      </c>
      <c r="Q21" s="437">
        <f t="shared" si="9"/>
        <v>-795.70008251127149</v>
      </c>
      <c r="R21" s="437">
        <f t="shared" si="9"/>
        <v>-827.52808581172235</v>
      </c>
      <c r="S21" s="437">
        <f t="shared" si="9"/>
        <v>-860.62920924419132</v>
      </c>
      <c r="T21" s="437">
        <f t="shared" si="9"/>
        <v>-895.05437761395899</v>
      </c>
      <c r="U21" s="332"/>
    </row>
    <row r="22" spans="1:21" x14ac:dyDescent="0.2">
      <c r="A22" t="s">
        <v>107</v>
      </c>
      <c r="F22" s="332">
        <f ca="1">SUM(F18:F21)</f>
        <v>5476.8161</v>
      </c>
      <c r="G22" s="332">
        <f t="shared" ref="G22:T22" ca="1" si="10">SUM(G18:G21)</f>
        <v>5522.4327999999987</v>
      </c>
      <c r="H22" s="332">
        <f t="shared" si="10"/>
        <v>6462.2099999999991</v>
      </c>
      <c r="I22" s="332">
        <f t="shared" ca="1" si="10"/>
        <v>2462.7223999999997</v>
      </c>
      <c r="J22" s="332">
        <f t="shared" ca="1" si="10"/>
        <v>2420.0600000000004</v>
      </c>
      <c r="K22" s="332">
        <f t="shared" ca="1" si="10"/>
        <v>4679.2666666666673</v>
      </c>
      <c r="L22" s="332">
        <f t="shared" ca="1" si="10"/>
        <v>3445.9125333333332</v>
      </c>
      <c r="M22" s="332">
        <f t="shared" ca="1" si="10"/>
        <v>3272.4466346666668</v>
      </c>
      <c r="N22" s="332">
        <f t="shared" ca="1" si="10"/>
        <v>3092.0421000533324</v>
      </c>
      <c r="O22" s="332">
        <f t="shared" ca="1" si="10"/>
        <v>2904.4213840554658</v>
      </c>
      <c r="P22" s="332">
        <f t="shared" ca="1" si="10"/>
        <v>2709.295839417684</v>
      </c>
      <c r="Q22" s="332">
        <f t="shared" ca="1" si="10"/>
        <v>2506.3652729943915</v>
      </c>
      <c r="R22" s="332">
        <f t="shared" ca="1" si="10"/>
        <v>2295.3174839141666</v>
      </c>
      <c r="S22" s="332">
        <f t="shared" ca="1" si="10"/>
        <v>2075.827783270734</v>
      </c>
      <c r="T22" s="332">
        <f t="shared" ca="1" si="10"/>
        <v>1847.5584946015633</v>
      </c>
      <c r="U22" s="332"/>
    </row>
    <row r="23" spans="1:21" x14ac:dyDescent="0.2">
      <c r="F23" s="332"/>
      <c r="G23" s="332"/>
      <c r="H23" s="332"/>
      <c r="I23" s="332"/>
      <c r="J23" s="332"/>
      <c r="K23" s="332"/>
      <c r="L23" s="332"/>
      <c r="M23" s="332"/>
      <c r="N23" s="332"/>
      <c r="O23" s="332"/>
      <c r="P23" s="332"/>
      <c r="Q23" s="332"/>
      <c r="R23" s="332"/>
      <c r="S23" s="332"/>
      <c r="T23" s="332"/>
      <c r="U23" s="332"/>
    </row>
    <row r="24" spans="1:21" x14ac:dyDescent="0.2">
      <c r="A24" t="s">
        <v>936</v>
      </c>
      <c r="F24" s="332"/>
      <c r="G24" s="332"/>
      <c r="H24" s="332"/>
      <c r="I24" s="332"/>
      <c r="J24" s="437">
        <f ca="1">-Dep!F110*0.5</f>
        <v>-466.80793329524704</v>
      </c>
      <c r="K24" s="437">
        <f ca="1">-Dep!G110</f>
        <v>-941.94919992382734</v>
      </c>
      <c r="L24" s="437">
        <f ca="1">-Dep!H110</f>
        <v>-950.28253325716071</v>
      </c>
      <c r="M24" s="437">
        <f ca="1">-Dep!I110</f>
        <v>-958.61586659049408</v>
      </c>
      <c r="N24" s="437">
        <f ca="1">-Dep!J110</f>
        <v>-966.94919992382734</v>
      </c>
      <c r="O24" s="437">
        <f ca="1">-Dep!K110</f>
        <v>-975.28253325716071</v>
      </c>
      <c r="P24" s="437">
        <f ca="1">-Dep!L110</f>
        <v>-983.61586659049408</v>
      </c>
      <c r="Q24" s="437">
        <f ca="1">-Dep!M110</f>
        <v>-991.94919992382734</v>
      </c>
      <c r="R24" s="437">
        <f ca="1">-Dep!N110</f>
        <v>-1000.2825332571607</v>
      </c>
      <c r="S24" s="437">
        <f ca="1">-Dep!O110</f>
        <v>-1008.6158665904941</v>
      </c>
      <c r="T24" s="437">
        <f ca="1">-Dep!P110</f>
        <v>-1016.9491999238273</v>
      </c>
      <c r="U24" s="332"/>
    </row>
    <row r="25" spans="1:21" x14ac:dyDescent="0.2">
      <c r="A25" t="s">
        <v>82</v>
      </c>
      <c r="F25" s="332"/>
      <c r="G25" s="332"/>
      <c r="H25" s="332"/>
      <c r="I25" s="332"/>
      <c r="J25" s="332">
        <f ca="1">+J22+J24</f>
        <v>1953.2520667047534</v>
      </c>
      <c r="K25" s="332">
        <f t="shared" ref="K25:T25" ca="1" si="11">+K22+K24</f>
        <v>3737.3174667428402</v>
      </c>
      <c r="L25" s="332">
        <f t="shared" ca="1" si="11"/>
        <v>2495.6300000761726</v>
      </c>
      <c r="M25" s="332">
        <f t="shared" ca="1" si="11"/>
        <v>2313.8307680761727</v>
      </c>
      <c r="N25" s="332">
        <f t="shared" ca="1" si="11"/>
        <v>2125.0929001295053</v>
      </c>
      <c r="O25" s="332">
        <f t="shared" ca="1" si="11"/>
        <v>1929.1388507983052</v>
      </c>
      <c r="P25" s="332">
        <f t="shared" ca="1" si="11"/>
        <v>1725.6799728271899</v>
      </c>
      <c r="Q25" s="332">
        <f t="shared" ca="1" si="11"/>
        <v>1514.4160730705642</v>
      </c>
      <c r="R25" s="332">
        <f t="shared" ca="1" si="11"/>
        <v>1295.034950657006</v>
      </c>
      <c r="S25" s="332">
        <f t="shared" ca="1" si="11"/>
        <v>1067.2119166802399</v>
      </c>
      <c r="T25" s="332">
        <f t="shared" ca="1" si="11"/>
        <v>830.60929467773599</v>
      </c>
      <c r="U25" s="332"/>
    </row>
    <row r="26" spans="1:21" x14ac:dyDescent="0.2">
      <c r="F26" s="332"/>
      <c r="G26" s="332"/>
      <c r="H26" s="332"/>
      <c r="I26" s="332"/>
      <c r="J26" s="332"/>
      <c r="K26" s="332"/>
      <c r="L26" s="332"/>
      <c r="M26" s="332"/>
      <c r="N26" s="332"/>
      <c r="O26" s="332"/>
      <c r="P26" s="332"/>
      <c r="Q26" s="332"/>
      <c r="R26" s="332"/>
      <c r="S26" s="332"/>
      <c r="T26" s="332"/>
      <c r="U26" s="332"/>
    </row>
    <row r="27" spans="1:21" x14ac:dyDescent="0.2">
      <c r="A27" t="s">
        <v>398</v>
      </c>
      <c r="F27" s="332"/>
      <c r="G27" s="332"/>
      <c r="H27" s="332"/>
      <c r="I27" s="438"/>
      <c r="J27" s="438">
        <f ca="1">-J25*Assumptions!$B$8</f>
        <v>-683.63822334666361</v>
      </c>
      <c r="K27" s="438">
        <f ca="1">-K25*Assumptions!$B$8</f>
        <v>-1308.0611133599939</v>
      </c>
      <c r="L27" s="438">
        <f ca="1">-L25*Assumptions!$B$8</f>
        <v>-873.47050002666037</v>
      </c>
      <c r="M27" s="438">
        <f ca="1">-M25*Assumptions!$B$8</f>
        <v>-809.84076882666045</v>
      </c>
      <c r="N27" s="438">
        <f ca="1">-N25*Assumptions!$B$8</f>
        <v>-743.78251504532682</v>
      </c>
      <c r="O27" s="438">
        <f ca="1">-O25*Assumptions!$B$8</f>
        <v>-675.19859777940678</v>
      </c>
      <c r="P27" s="438">
        <f ca="1">-P25*Assumptions!$B$8</f>
        <v>-603.98799048951639</v>
      </c>
      <c r="Q27" s="438">
        <f ca="1">-Q25*Assumptions!$B$8</f>
        <v>-530.0456255746974</v>
      </c>
      <c r="R27" s="438">
        <f ca="1">-R25*Assumptions!$B$8</f>
        <v>-453.26223272995207</v>
      </c>
      <c r="S27" s="438">
        <f ca="1">-S25*Assumptions!$B$8</f>
        <v>-373.52417083808393</v>
      </c>
      <c r="T27" s="438">
        <f ca="1">-T25*Assumptions!$B$8</f>
        <v>-290.71325313720757</v>
      </c>
      <c r="U27" s="332"/>
    </row>
    <row r="28" spans="1:21" x14ac:dyDescent="0.2">
      <c r="A28" t="s">
        <v>959</v>
      </c>
      <c r="F28" s="332"/>
      <c r="G28" s="332"/>
      <c r="H28" s="332"/>
      <c r="I28" s="332"/>
      <c r="J28" s="438">
        <f ca="1">+Dep!F113*0.5</f>
        <v>537.03918685951692</v>
      </c>
      <c r="K28" s="438">
        <f ca="1">+Dep!G113</f>
        <v>2083.5680501707861</v>
      </c>
      <c r="L28" s="438">
        <f ca="1">+Dep!H113</f>
        <v>1415.8724715601063</v>
      </c>
      <c r="M28" s="438">
        <f ca="1">+Dep!I113</f>
        <v>938.11122493343032</v>
      </c>
      <c r="N28" s="438">
        <f ca="1">+Dep!J113</f>
        <v>597.13769733523714</v>
      </c>
      <c r="O28" s="438">
        <f ca="1">+Dep!K113</f>
        <v>601.05448400865043</v>
      </c>
      <c r="P28" s="438">
        <f ca="1">+Dep!L113</f>
        <v>606.92311400190374</v>
      </c>
      <c r="Q28" s="438">
        <f ca="1">+Dep!M113</f>
        <v>173.62759035098875</v>
      </c>
      <c r="R28" s="438">
        <f ca="1">+Dep!N113</f>
        <v>-262.59888664000624</v>
      </c>
      <c r="S28" s="438">
        <f ca="1">+Dep!O113</f>
        <v>-265.51555330667293</v>
      </c>
      <c r="T28" s="438">
        <f ca="1">+Dep!P113</f>
        <v>-268.43221997333956</v>
      </c>
      <c r="U28" s="332"/>
    </row>
    <row r="29" spans="1:21" x14ac:dyDescent="0.2">
      <c r="A29" t="s">
        <v>936</v>
      </c>
      <c r="F29" s="332"/>
      <c r="G29" s="332"/>
      <c r="H29" s="332"/>
      <c r="I29" s="438"/>
      <c r="J29" s="438">
        <f ca="1">+-J24</f>
        <v>466.80793329524704</v>
      </c>
      <c r="K29" s="438">
        <f t="shared" ref="K29:T29" ca="1" si="12">+-K24</f>
        <v>941.94919992382734</v>
      </c>
      <c r="L29" s="438">
        <f t="shared" ca="1" si="12"/>
        <v>950.28253325716071</v>
      </c>
      <c r="M29" s="438">
        <f t="shared" ca="1" si="12"/>
        <v>958.61586659049408</v>
      </c>
      <c r="N29" s="438">
        <f t="shared" ca="1" si="12"/>
        <v>966.94919992382734</v>
      </c>
      <c r="O29" s="438">
        <f t="shared" ca="1" si="12"/>
        <v>975.28253325716071</v>
      </c>
      <c r="P29" s="438">
        <f t="shared" ca="1" si="12"/>
        <v>983.61586659049408</v>
      </c>
      <c r="Q29" s="438">
        <f t="shared" ca="1" si="12"/>
        <v>991.94919992382734</v>
      </c>
      <c r="R29" s="438">
        <f t="shared" ca="1" si="12"/>
        <v>1000.2825332571607</v>
      </c>
      <c r="S29" s="438">
        <f t="shared" ca="1" si="12"/>
        <v>1008.6158665904941</v>
      </c>
      <c r="T29" s="438">
        <f t="shared" ca="1" si="12"/>
        <v>1016.9491999238273</v>
      </c>
      <c r="U29" s="332"/>
    </row>
    <row r="30" spans="1:21" x14ac:dyDescent="0.2">
      <c r="A30" t="s">
        <v>960</v>
      </c>
      <c r="F30" s="332"/>
      <c r="G30" s="332"/>
      <c r="H30" s="332"/>
      <c r="I30" s="332"/>
      <c r="J30" s="438">
        <f>+'Valuation - DCF'!L51/2</f>
        <v>-125</v>
      </c>
      <c r="K30" s="438">
        <f>+'Valuation - DCF'!M51/2</f>
        <v>-250</v>
      </c>
      <c r="L30" s="438">
        <f>+'Valuation - DCF'!N51/2</f>
        <v>-250</v>
      </c>
      <c r="M30" s="438">
        <f>+'Valuation - DCF'!O51/2</f>
        <v>-250</v>
      </c>
      <c r="N30" s="438">
        <f>+'Valuation - DCF'!P51/2</f>
        <v>-250</v>
      </c>
      <c r="O30" s="438">
        <f t="shared" ref="O30:T30" si="13">N30</f>
        <v>-250</v>
      </c>
      <c r="P30" s="438">
        <f t="shared" si="13"/>
        <v>-250</v>
      </c>
      <c r="Q30" s="438">
        <f t="shared" si="13"/>
        <v>-250</v>
      </c>
      <c r="R30" s="438">
        <f t="shared" si="13"/>
        <v>-250</v>
      </c>
      <c r="S30" s="438">
        <f t="shared" si="13"/>
        <v>-250</v>
      </c>
      <c r="T30" s="438">
        <f t="shared" si="13"/>
        <v>-250</v>
      </c>
      <c r="U30" s="332"/>
    </row>
    <row r="31" spans="1:21" x14ac:dyDescent="0.2">
      <c r="A31" t="s">
        <v>961</v>
      </c>
      <c r="F31" s="332"/>
      <c r="G31" s="332"/>
      <c r="H31" s="332"/>
      <c r="I31" s="332"/>
      <c r="J31" s="437">
        <f ca="1">+J56</f>
        <v>197.51111111110731</v>
      </c>
      <c r="K31" s="437">
        <f t="shared" ref="K31:T31" ca="1" si="14">+K56</f>
        <v>279.01826484018238</v>
      </c>
      <c r="L31" s="437">
        <f t="shared" ca="1" si="14"/>
        <v>2435.0684931506912</v>
      </c>
      <c r="M31" s="437">
        <f t="shared" ca="1" si="14"/>
        <v>0</v>
      </c>
      <c r="N31" s="437">
        <f t="shared" ca="1" si="14"/>
        <v>0</v>
      </c>
      <c r="O31" s="437">
        <f t="shared" ca="1" si="14"/>
        <v>0</v>
      </c>
      <c r="P31" s="437">
        <f t="shared" ca="1" si="14"/>
        <v>0</v>
      </c>
      <c r="Q31" s="437">
        <f t="shared" ca="1" si="14"/>
        <v>0</v>
      </c>
      <c r="R31" s="437">
        <f t="shared" ca="1" si="14"/>
        <v>0</v>
      </c>
      <c r="S31" s="437">
        <f t="shared" ca="1" si="14"/>
        <v>0</v>
      </c>
      <c r="T31" s="437">
        <f t="shared" si="14"/>
        <v>0</v>
      </c>
      <c r="U31" s="332"/>
    </row>
    <row r="32" spans="1:21" x14ac:dyDescent="0.2">
      <c r="A32" t="s">
        <v>95</v>
      </c>
      <c r="F32" s="332"/>
      <c r="G32" s="332"/>
      <c r="H32" s="332"/>
      <c r="I32" s="603">
        <v>0</v>
      </c>
      <c r="J32" s="441">
        <f t="shared" ref="J32:T32" ca="1" si="15">SUM(J25:J31)</f>
        <v>2345.9720746239609</v>
      </c>
      <c r="K32" s="441">
        <f t="shared" ca="1" si="15"/>
        <v>5483.7918683176413</v>
      </c>
      <c r="L32" s="441">
        <f t="shared" ca="1" si="15"/>
        <v>6173.3829980174705</v>
      </c>
      <c r="M32" s="441">
        <f t="shared" ca="1" si="15"/>
        <v>3150.7170907734367</v>
      </c>
      <c r="N32" s="441">
        <f t="shared" ca="1" si="15"/>
        <v>2695.3972823432432</v>
      </c>
      <c r="O32" s="441">
        <f t="shared" ca="1" si="15"/>
        <v>2580.2772702847096</v>
      </c>
      <c r="P32" s="441">
        <f t="shared" ca="1" si="15"/>
        <v>2462.2309629300712</v>
      </c>
      <c r="Q32" s="441">
        <f t="shared" ca="1" si="15"/>
        <v>1899.9472377706829</v>
      </c>
      <c r="R32" s="441">
        <f t="shared" ca="1" si="15"/>
        <v>1329.4563645442086</v>
      </c>
      <c r="S32" s="441">
        <f t="shared" ca="1" si="15"/>
        <v>1186.7880591259773</v>
      </c>
      <c r="T32" s="441">
        <f t="shared" ca="1" si="15"/>
        <v>1038.413021491016</v>
      </c>
      <c r="U32" s="441">
        <f ca="1">+T22*D35</f>
        <v>11085.35096760938</v>
      </c>
    </row>
    <row r="33" spans="1:21" x14ac:dyDescent="0.2">
      <c r="F33" s="332"/>
      <c r="G33" s="332"/>
      <c r="H33" s="332"/>
      <c r="I33" s="332"/>
      <c r="J33" s="332"/>
      <c r="K33" s="332"/>
      <c r="L33" s="332"/>
      <c r="M33" s="332"/>
      <c r="N33" s="332"/>
      <c r="O33" s="332"/>
      <c r="P33" s="332"/>
      <c r="Q33" s="332"/>
      <c r="R33" s="332"/>
      <c r="S33" s="332"/>
      <c r="T33" s="332"/>
      <c r="U33" s="332"/>
    </row>
    <row r="34" spans="1:21" x14ac:dyDescent="0.2">
      <c r="C34" s="291" t="str">
        <f>"NPV@"&amp;(Assumptions!$B$6*100)&amp;"%"</f>
        <v>NPV@11%</v>
      </c>
      <c r="D34" s="333">
        <f ca="1">XNPV(Assumptions!$B$6,I32:U32,I7:U7)</f>
        <v>24145.862525677021</v>
      </c>
      <c r="E34" s="260"/>
      <c r="F34" s="261"/>
      <c r="G34" s="261"/>
      <c r="H34" s="261"/>
      <c r="I34" s="261"/>
      <c r="J34" s="261"/>
      <c r="K34" s="261"/>
      <c r="L34" s="261"/>
      <c r="M34" s="261"/>
      <c r="N34" s="261"/>
      <c r="O34" s="261"/>
      <c r="P34" s="261"/>
      <c r="Q34" s="261"/>
      <c r="R34" s="261"/>
      <c r="S34" s="261"/>
      <c r="T34" s="261"/>
    </row>
    <row r="35" spans="1:21" x14ac:dyDescent="0.2">
      <c r="C35" s="291" t="s">
        <v>497</v>
      </c>
      <c r="D35" s="585">
        <f>Assumptions!$B$7</f>
        <v>6</v>
      </c>
      <c r="F35" s="261"/>
      <c r="G35" s="261"/>
      <c r="H35" s="261"/>
      <c r="I35" s="261"/>
      <c r="J35" s="261"/>
      <c r="K35" s="261"/>
      <c r="L35" s="261"/>
      <c r="M35" s="261"/>
      <c r="N35" s="261"/>
      <c r="O35" s="261"/>
      <c r="P35" s="261"/>
      <c r="Q35" s="261"/>
      <c r="R35" s="261"/>
      <c r="S35" s="261"/>
      <c r="T35" s="261"/>
    </row>
    <row r="37" spans="1:21" hidden="1" x14ac:dyDescent="0.2">
      <c r="A37" t="s">
        <v>466</v>
      </c>
      <c r="F37" s="332">
        <f>Segments!M6+'Profit &amp; Loss'!I22/3</f>
        <v>6874</v>
      </c>
      <c r="G37" s="332">
        <f>Segments!N6+'Profit &amp; Loss'!J22/3</f>
        <v>6906.333333333333</v>
      </c>
      <c r="H37" s="332">
        <f>Segments!O6+'Profit &amp; Loss'!K22/3</f>
        <v>8608</v>
      </c>
      <c r="I37" s="332"/>
    </row>
    <row r="38" spans="1:21" hidden="1" x14ac:dyDescent="0.2">
      <c r="B38" t="s">
        <v>467</v>
      </c>
      <c r="F38" s="262">
        <f ca="1">1-F15/F37</f>
        <v>-0.29485250218213555</v>
      </c>
      <c r="G38" s="262">
        <f ca="1">1-G15/G37</f>
        <v>-0.28974846276364685</v>
      </c>
      <c r="H38" s="262">
        <f>1-H15/H37</f>
        <v>-0.1970504182156132</v>
      </c>
      <c r="I38" s="262"/>
    </row>
    <row r="40" spans="1:21" x14ac:dyDescent="0.2">
      <c r="B40" s="318" t="s">
        <v>798</v>
      </c>
    </row>
    <row r="42" spans="1:21" x14ac:dyDescent="0.2">
      <c r="F42" s="409">
        <v>36160</v>
      </c>
      <c r="G42" s="409">
        <v>36525</v>
      </c>
      <c r="H42" s="409">
        <v>36891</v>
      </c>
      <c r="I42" s="409">
        <v>37073</v>
      </c>
      <c r="J42" s="409">
        <v>37256</v>
      </c>
      <c r="K42" s="409">
        <v>37621</v>
      </c>
      <c r="L42" s="409">
        <v>37986</v>
      </c>
      <c r="M42" s="409">
        <v>38352</v>
      </c>
      <c r="N42" s="409">
        <v>38717</v>
      </c>
      <c r="O42" s="409">
        <v>39082</v>
      </c>
      <c r="P42" s="409">
        <v>39447</v>
      </c>
      <c r="Q42" s="409">
        <v>39813</v>
      </c>
      <c r="R42" s="409">
        <v>40178</v>
      </c>
      <c r="S42" s="409">
        <v>40543</v>
      </c>
      <c r="T42" s="409">
        <v>40908</v>
      </c>
      <c r="U42" s="409">
        <v>40909</v>
      </c>
    </row>
    <row r="44" spans="1:21" x14ac:dyDescent="0.2">
      <c r="A44" t="s">
        <v>813</v>
      </c>
      <c r="F44" s="450">
        <f ca="1">+F15</f>
        <v>8900.8161</v>
      </c>
      <c r="G44" s="450">
        <f t="shared" ref="G44:S44" ca="1" si="16">+G15</f>
        <v>8907.4327999999987</v>
      </c>
      <c r="H44" s="450">
        <f t="shared" si="16"/>
        <v>10304.209999999999</v>
      </c>
      <c r="I44" s="450">
        <f t="shared" ca="1" si="16"/>
        <v>4442.2223999999997</v>
      </c>
      <c r="J44" s="450">
        <f t="shared" ca="1" si="16"/>
        <v>4399.5600000000004</v>
      </c>
      <c r="K44" s="450">
        <f t="shared" ca="1" si="16"/>
        <v>8799.1200000000008</v>
      </c>
      <c r="L44" s="450">
        <f t="shared" ca="1" si="16"/>
        <v>7732.5599999999995</v>
      </c>
      <c r="M44" s="450">
        <f t="shared" ca="1" si="16"/>
        <v>7732.5599999999995</v>
      </c>
      <c r="N44" s="450">
        <f t="shared" ca="1" si="16"/>
        <v>7732.5599999999995</v>
      </c>
      <c r="O44" s="450">
        <f t="shared" ca="1" si="16"/>
        <v>7732.5599999999995</v>
      </c>
      <c r="P44" s="450">
        <f t="shared" ca="1" si="16"/>
        <v>7732.5599999999995</v>
      </c>
      <c r="Q44" s="450">
        <f t="shared" ca="1" si="16"/>
        <v>7732.5599999999995</v>
      </c>
      <c r="R44" s="450">
        <f t="shared" ca="1" si="16"/>
        <v>7732.5599999999995</v>
      </c>
      <c r="S44" s="450">
        <f t="shared" ca="1" si="16"/>
        <v>7732.5599999999995</v>
      </c>
    </row>
    <row r="46" spans="1:21" x14ac:dyDescent="0.2">
      <c r="A46" s="133">
        <v>7.4999999999999997E-2</v>
      </c>
      <c r="B46" t="s">
        <v>266</v>
      </c>
      <c r="F46" s="450">
        <f t="shared" ref="F46:S46" ca="1" si="17">+F44/$A$46</f>
        <v>118677.54800000001</v>
      </c>
      <c r="G46" s="450">
        <f t="shared" ca="1" si="17"/>
        <v>118765.77066666665</v>
      </c>
      <c r="H46" s="450">
        <f t="shared" si="17"/>
        <v>137389.46666666667</v>
      </c>
      <c r="I46" s="450">
        <f t="shared" ca="1" si="17"/>
        <v>59229.631999999998</v>
      </c>
      <c r="J46" s="450">
        <f t="shared" ca="1" si="17"/>
        <v>58660.80000000001</v>
      </c>
      <c r="K46" s="450">
        <f t="shared" ca="1" si="17"/>
        <v>117321.60000000002</v>
      </c>
      <c r="L46" s="450">
        <f t="shared" ca="1" si="17"/>
        <v>103100.8</v>
      </c>
      <c r="M46" s="450">
        <f t="shared" ca="1" si="17"/>
        <v>103100.8</v>
      </c>
      <c r="N46" s="450">
        <f t="shared" ca="1" si="17"/>
        <v>103100.8</v>
      </c>
      <c r="O46" s="450">
        <f t="shared" ca="1" si="17"/>
        <v>103100.8</v>
      </c>
      <c r="P46" s="450">
        <f t="shared" ca="1" si="17"/>
        <v>103100.8</v>
      </c>
      <c r="Q46" s="450">
        <f t="shared" ca="1" si="17"/>
        <v>103100.8</v>
      </c>
      <c r="R46" s="450">
        <f t="shared" ca="1" si="17"/>
        <v>103100.8</v>
      </c>
      <c r="S46" s="450">
        <f t="shared" ca="1" si="17"/>
        <v>103100.8</v>
      </c>
    </row>
    <row r="47" spans="1:21" x14ac:dyDescent="0.2">
      <c r="B47" t="s">
        <v>395</v>
      </c>
      <c r="F47" s="457">
        <f ca="1">-F46*(1-$A$46)</f>
        <v>-109776.73190000001</v>
      </c>
      <c r="G47" s="457">
        <f t="shared" ref="G47:S47" ca="1" si="18">-G46*(1-$A$46)</f>
        <v>-109858.33786666665</v>
      </c>
      <c r="H47" s="457">
        <f t="shared" si="18"/>
        <v>-127085.25666666668</v>
      </c>
      <c r="I47" s="457">
        <f t="shared" ca="1" si="18"/>
        <v>-54787.409599999999</v>
      </c>
      <c r="J47" s="457">
        <f t="shared" ca="1" si="18"/>
        <v>-54261.240000000013</v>
      </c>
      <c r="K47" s="457">
        <f t="shared" ca="1" si="18"/>
        <v>-108522.48000000003</v>
      </c>
      <c r="L47" s="457">
        <f t="shared" ca="1" si="18"/>
        <v>-95368.24</v>
      </c>
      <c r="M47" s="457">
        <f t="shared" ca="1" si="18"/>
        <v>-95368.24</v>
      </c>
      <c r="N47" s="457">
        <f t="shared" ca="1" si="18"/>
        <v>-95368.24</v>
      </c>
      <c r="O47" s="457">
        <f t="shared" ca="1" si="18"/>
        <v>-95368.24</v>
      </c>
      <c r="P47" s="457">
        <f t="shared" ca="1" si="18"/>
        <v>-95368.24</v>
      </c>
      <c r="Q47" s="457">
        <f t="shared" ca="1" si="18"/>
        <v>-95368.24</v>
      </c>
      <c r="R47" s="457">
        <f t="shared" ca="1" si="18"/>
        <v>-95368.24</v>
      </c>
      <c r="S47" s="457">
        <f t="shared" ca="1" si="18"/>
        <v>-95368.24</v>
      </c>
    </row>
    <row r="48" spans="1:21" x14ac:dyDescent="0.2">
      <c r="B48" t="s">
        <v>800</v>
      </c>
      <c r="F48" s="450">
        <f ca="1">SUM(F46:F47)</f>
        <v>8900.8160999999964</v>
      </c>
      <c r="G48" s="450">
        <f t="shared" ref="G48:S48" ca="1" si="19">SUM(G46:G47)</f>
        <v>8907.432799999995</v>
      </c>
      <c r="H48" s="450">
        <f t="shared" si="19"/>
        <v>10304.209999999992</v>
      </c>
      <c r="I48" s="450">
        <f t="shared" ca="1" si="19"/>
        <v>4442.2223999999987</v>
      </c>
      <c r="J48" s="450">
        <f t="shared" ca="1" si="19"/>
        <v>4399.5599999999977</v>
      </c>
      <c r="K48" s="450">
        <f t="shared" ca="1" si="19"/>
        <v>8799.1199999999953</v>
      </c>
      <c r="L48" s="450">
        <f t="shared" ca="1" si="19"/>
        <v>7732.5599999999977</v>
      </c>
      <c r="M48" s="450">
        <f t="shared" ca="1" si="19"/>
        <v>7732.5599999999977</v>
      </c>
      <c r="N48" s="450">
        <f t="shared" ca="1" si="19"/>
        <v>7732.5599999999977</v>
      </c>
      <c r="O48" s="450">
        <f t="shared" ca="1" si="19"/>
        <v>7732.5599999999977</v>
      </c>
      <c r="P48" s="450">
        <f t="shared" ca="1" si="19"/>
        <v>7732.5599999999977</v>
      </c>
      <c r="Q48" s="450">
        <f t="shared" ca="1" si="19"/>
        <v>7732.5599999999977</v>
      </c>
      <c r="R48" s="450">
        <f t="shared" ca="1" si="19"/>
        <v>7732.5599999999977</v>
      </c>
      <c r="S48" s="450">
        <f t="shared" ca="1" si="19"/>
        <v>7732.5599999999977</v>
      </c>
    </row>
    <row r="50" spans="1:19" x14ac:dyDescent="0.2">
      <c r="A50" t="s">
        <v>814</v>
      </c>
    </row>
    <row r="51" spans="1:19" x14ac:dyDescent="0.2">
      <c r="B51" t="s">
        <v>406</v>
      </c>
      <c r="D51" s="224">
        <v>66</v>
      </c>
      <c r="F51" s="321">
        <f ca="1">+F46*$D$51/365</f>
        <v>21459.501830136989</v>
      </c>
      <c r="G51" s="321">
        <f ca="1">+G46*$D$51/365</f>
        <v>21475.454421917806</v>
      </c>
      <c r="H51" s="321">
        <f>+H46*$D$51/365</f>
        <v>24843.026849315069</v>
      </c>
      <c r="I51" s="321">
        <f ca="1">+I46*$D$51/180</f>
        <v>21717.531733333333</v>
      </c>
      <c r="J51" s="321">
        <f ca="1">+J46*$D$51/180</f>
        <v>21508.960000000003</v>
      </c>
      <c r="K51" s="321">
        <f ca="1">+K46*$D$51/365</f>
        <v>21214.316712328771</v>
      </c>
      <c r="L51" s="321">
        <f t="shared" ref="L51:S51" ca="1" si="20">+L46*$D$51/365</f>
        <v>18642.884383561643</v>
      </c>
      <c r="M51" s="321">
        <f t="shared" ca="1" si="20"/>
        <v>18642.884383561643</v>
      </c>
      <c r="N51" s="321">
        <f t="shared" ca="1" si="20"/>
        <v>18642.884383561643</v>
      </c>
      <c r="O51" s="321">
        <f t="shared" ca="1" si="20"/>
        <v>18642.884383561643</v>
      </c>
      <c r="P51" s="321">
        <f t="shared" ca="1" si="20"/>
        <v>18642.884383561643</v>
      </c>
      <c r="Q51" s="321">
        <f t="shared" ca="1" si="20"/>
        <v>18642.884383561643</v>
      </c>
      <c r="R51" s="321">
        <f t="shared" ca="1" si="20"/>
        <v>18642.884383561643</v>
      </c>
      <c r="S51" s="321">
        <f t="shared" ca="1" si="20"/>
        <v>18642.884383561643</v>
      </c>
    </row>
    <row r="52" spans="1:19" x14ac:dyDescent="0.2">
      <c r="B52" t="s">
        <v>252</v>
      </c>
      <c r="D52" s="224">
        <v>15</v>
      </c>
      <c r="F52" s="321">
        <f ca="1">+F46*$D$52/365</f>
        <v>4877.1595068493152</v>
      </c>
      <c r="G52" s="321">
        <f t="shared" ref="G52:S52" ca="1" si="21">+G46*$D$52/365</f>
        <v>4880.78509589041</v>
      </c>
      <c r="H52" s="321">
        <f t="shared" si="21"/>
        <v>5646.1424657534244</v>
      </c>
      <c r="I52" s="321">
        <f ca="1">+I46*$D$52/180</f>
        <v>4935.8026666666665</v>
      </c>
      <c r="J52" s="321">
        <f ca="1">+J46*$D$52/180</f>
        <v>4888.4000000000005</v>
      </c>
      <c r="K52" s="321">
        <f t="shared" ca="1" si="21"/>
        <v>4821.4356164383571</v>
      </c>
      <c r="L52" s="321">
        <f t="shared" ca="1" si="21"/>
        <v>4237.0191780821915</v>
      </c>
      <c r="M52" s="321">
        <f t="shared" ca="1" si="21"/>
        <v>4237.0191780821915</v>
      </c>
      <c r="N52" s="321">
        <f t="shared" ca="1" si="21"/>
        <v>4237.0191780821915</v>
      </c>
      <c r="O52" s="321">
        <f t="shared" ca="1" si="21"/>
        <v>4237.0191780821915</v>
      </c>
      <c r="P52" s="321">
        <f t="shared" ca="1" si="21"/>
        <v>4237.0191780821915</v>
      </c>
      <c r="Q52" s="321">
        <f t="shared" ca="1" si="21"/>
        <v>4237.0191780821915</v>
      </c>
      <c r="R52" s="321">
        <f t="shared" ca="1" si="21"/>
        <v>4237.0191780821915</v>
      </c>
      <c r="S52" s="321">
        <f t="shared" ca="1" si="21"/>
        <v>4237.0191780821915</v>
      </c>
    </row>
    <row r="53" spans="1:19" x14ac:dyDescent="0.2">
      <c r="B53" t="s">
        <v>16</v>
      </c>
      <c r="D53" s="224">
        <v>20</v>
      </c>
      <c r="F53" s="321">
        <f ca="1">-F47*$D$53/365</f>
        <v>6015.1633917808231</v>
      </c>
      <c r="G53" s="321">
        <f ca="1">-G47*$D$53/365</f>
        <v>6019.6349515981728</v>
      </c>
      <c r="H53" s="321">
        <f t="shared" ref="H53:S53" si="22">-H47*$D$53/365</f>
        <v>6963.5757077625585</v>
      </c>
      <c r="I53" s="321">
        <f ca="1">-I47*$D$53/180</f>
        <v>6087.4899555555558</v>
      </c>
      <c r="J53" s="321">
        <f ca="1">-J47*$D$53/180</f>
        <v>6029.0266666666685</v>
      </c>
      <c r="K53" s="321">
        <f t="shared" ca="1" si="22"/>
        <v>5946.4372602739741</v>
      </c>
      <c r="L53" s="321">
        <f t="shared" ca="1" si="22"/>
        <v>5225.6569863013701</v>
      </c>
      <c r="M53" s="321">
        <f t="shared" ca="1" si="22"/>
        <v>5225.6569863013701</v>
      </c>
      <c r="N53" s="321">
        <f t="shared" ca="1" si="22"/>
        <v>5225.6569863013701</v>
      </c>
      <c r="O53" s="321">
        <f t="shared" ca="1" si="22"/>
        <v>5225.6569863013701</v>
      </c>
      <c r="P53" s="321">
        <f t="shared" ca="1" si="22"/>
        <v>5225.6569863013701</v>
      </c>
      <c r="Q53" s="321">
        <f t="shared" ca="1" si="22"/>
        <v>5225.6569863013701</v>
      </c>
      <c r="R53" s="321">
        <f t="shared" ca="1" si="22"/>
        <v>5225.6569863013701</v>
      </c>
      <c r="S53" s="321">
        <f t="shared" ca="1" si="22"/>
        <v>5225.6569863013701</v>
      </c>
    </row>
    <row r="55" spans="1:19" x14ac:dyDescent="0.2">
      <c r="B55" t="s">
        <v>100</v>
      </c>
      <c r="F55" s="321">
        <f ca="1">+F51+F52-F53</f>
        <v>20321.497945205483</v>
      </c>
      <c r="G55" s="321">
        <f t="shared" ref="G55:S55" ca="1" si="23">+G51+G52-G53</f>
        <v>20336.604566210044</v>
      </c>
      <c r="H55" s="321">
        <f t="shared" si="23"/>
        <v>23525.593607305935</v>
      </c>
      <c r="I55" s="321">
        <f t="shared" ca="1" si="23"/>
        <v>20565.844444444443</v>
      </c>
      <c r="J55" s="321">
        <f t="shared" ca="1" si="23"/>
        <v>20368.333333333336</v>
      </c>
      <c r="K55" s="321">
        <f t="shared" ca="1" si="23"/>
        <v>20089.315068493153</v>
      </c>
      <c r="L55" s="321">
        <f t="shared" ca="1" si="23"/>
        <v>17654.246575342462</v>
      </c>
      <c r="M55" s="321">
        <f t="shared" ca="1" si="23"/>
        <v>17654.246575342462</v>
      </c>
      <c r="N55" s="321">
        <f t="shared" ca="1" si="23"/>
        <v>17654.246575342462</v>
      </c>
      <c r="O55" s="321">
        <f t="shared" ca="1" si="23"/>
        <v>17654.246575342462</v>
      </c>
      <c r="P55" s="321">
        <f t="shared" ca="1" si="23"/>
        <v>17654.246575342462</v>
      </c>
      <c r="Q55" s="321">
        <f t="shared" ca="1" si="23"/>
        <v>17654.246575342462</v>
      </c>
      <c r="R55" s="321">
        <f t="shared" ca="1" si="23"/>
        <v>17654.246575342462</v>
      </c>
      <c r="S55" s="321">
        <f t="shared" ca="1" si="23"/>
        <v>17654.246575342462</v>
      </c>
    </row>
    <row r="56" spans="1:19" x14ac:dyDescent="0.2">
      <c r="B56" t="s">
        <v>583</v>
      </c>
      <c r="G56" s="450">
        <f ca="1">+F55-G55</f>
        <v>-15.106621004561021</v>
      </c>
      <c r="H56" s="450">
        <f t="shared" ref="H56:S56" ca="1" si="24">+G55-H55</f>
        <v>-3188.9890410958906</v>
      </c>
      <c r="I56" s="450">
        <f t="shared" ca="1" si="24"/>
        <v>2959.7491628614916</v>
      </c>
      <c r="J56" s="450">
        <f t="shared" ca="1" si="24"/>
        <v>197.51111111110731</v>
      </c>
      <c r="K56" s="450">
        <f t="shared" ca="1" si="24"/>
        <v>279.01826484018238</v>
      </c>
      <c r="L56" s="450">
        <f t="shared" ca="1" si="24"/>
        <v>2435.0684931506912</v>
      </c>
      <c r="M56" s="450">
        <f t="shared" ca="1" si="24"/>
        <v>0</v>
      </c>
      <c r="N56" s="450">
        <f t="shared" ca="1" si="24"/>
        <v>0</v>
      </c>
      <c r="O56" s="450">
        <f t="shared" ca="1" si="24"/>
        <v>0</v>
      </c>
      <c r="P56" s="450">
        <f t="shared" ca="1" si="24"/>
        <v>0</v>
      </c>
      <c r="Q56" s="450">
        <f t="shared" ca="1" si="24"/>
        <v>0</v>
      </c>
      <c r="R56" s="450">
        <f t="shared" ca="1" si="24"/>
        <v>0</v>
      </c>
      <c r="S56" s="450">
        <f t="shared" ca="1" si="24"/>
        <v>0</v>
      </c>
    </row>
  </sheetData>
  <printOptions horizontalCentered="1"/>
  <pageMargins left="0.75" right="0.75" top="0.53" bottom="1" header="0.5" footer="0.5"/>
  <pageSetup scale="63" orientation="landscape" verticalDpi="200" r:id="rId1"/>
  <headerFooter alignWithMargins="0">
    <oddFooter>&amp;L&amp;7&amp;D &amp;T&amp;C&amp;8&amp;P&amp;R&amp;7o:/Corpdev/North America/Raul/Ammonia/&amp;F</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77"/>
  <sheetViews>
    <sheetView zoomScaleNormal="100" workbookViewId="0">
      <selection activeCell="B33" sqref="B33"/>
    </sheetView>
  </sheetViews>
  <sheetFormatPr defaultRowHeight="12.75" x14ac:dyDescent="0.2"/>
  <cols>
    <col min="4" max="4" width="10.42578125" bestFit="1" customWidth="1"/>
    <col min="5" max="5" width="10.85546875" bestFit="1" customWidth="1"/>
    <col min="6" max="6" width="10.42578125" bestFit="1" customWidth="1"/>
    <col min="7" max="7" width="11.5703125" bestFit="1" customWidth="1"/>
    <col min="8" max="8" width="11.28515625" bestFit="1" customWidth="1"/>
    <col min="9" max="9" width="10.85546875" bestFit="1" customWidth="1"/>
    <col min="10" max="10" width="11.85546875" bestFit="1" customWidth="1"/>
    <col min="11" max="11" width="10.5703125" bestFit="1" customWidth="1"/>
    <col min="12" max="14" width="10.140625" bestFit="1" customWidth="1"/>
  </cols>
  <sheetData>
    <row r="1" spans="1:42" ht="21" thickBot="1" x14ac:dyDescent="0.35">
      <c r="A1" s="365" t="s">
        <v>518</v>
      </c>
      <c r="B1" s="339"/>
      <c r="C1" s="339"/>
      <c r="D1" s="340"/>
      <c r="E1" s="340"/>
      <c r="F1" s="360"/>
      <c r="G1" s="360"/>
      <c r="H1" s="360"/>
      <c r="I1" s="360"/>
      <c r="J1" s="360"/>
      <c r="K1" s="360"/>
      <c r="L1" s="360"/>
      <c r="M1" s="360"/>
      <c r="N1" s="360"/>
      <c r="O1" s="774" t="s">
        <v>945</v>
      </c>
    </row>
    <row r="2" spans="1:42" ht="26.25" x14ac:dyDescent="0.4">
      <c r="A2" s="358"/>
      <c r="B2" s="388"/>
      <c r="C2" s="388"/>
      <c r="D2" s="389"/>
      <c r="E2" s="389"/>
      <c r="F2" s="359"/>
      <c r="O2" s="786" t="s">
        <v>659</v>
      </c>
    </row>
    <row r="3" spans="1:42" ht="26.25" x14ac:dyDescent="0.4">
      <c r="A3" s="358"/>
      <c r="B3" s="388"/>
      <c r="C3" s="388"/>
      <c r="D3" s="389"/>
      <c r="E3" s="389"/>
      <c r="F3" s="359"/>
      <c r="O3" s="786"/>
    </row>
    <row r="4" spans="1:42" ht="26.25" x14ac:dyDescent="0.4">
      <c r="A4" s="358"/>
      <c r="B4" s="388"/>
      <c r="C4" s="388"/>
      <c r="D4" s="389"/>
      <c r="E4" s="389"/>
      <c r="F4" s="359"/>
      <c r="Q4" s="588"/>
    </row>
    <row r="5" spans="1:42" ht="15.75" x14ac:dyDescent="0.25">
      <c r="A5" s="181" t="s">
        <v>809</v>
      </c>
      <c r="D5" s="758">
        <v>37072</v>
      </c>
      <c r="E5" s="758">
        <v>37257</v>
      </c>
      <c r="F5" s="758">
        <v>37622</v>
      </c>
      <c r="G5" s="758">
        <v>37987</v>
      </c>
      <c r="H5" s="758">
        <v>38353</v>
      </c>
      <c r="I5" s="758">
        <v>38718</v>
      </c>
      <c r="J5" s="758">
        <v>39083</v>
      </c>
      <c r="K5" s="758">
        <v>39448</v>
      </c>
      <c r="L5" s="758">
        <v>39814</v>
      </c>
      <c r="M5" s="758">
        <v>40179</v>
      </c>
      <c r="N5" s="758">
        <v>40544</v>
      </c>
    </row>
    <row r="7" spans="1:42" x14ac:dyDescent="0.2">
      <c r="A7" s="80" t="s">
        <v>935</v>
      </c>
    </row>
    <row r="8" spans="1:42" x14ac:dyDescent="0.2">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row>
    <row r="9" spans="1:42" x14ac:dyDescent="0.2">
      <c r="A9" t="s">
        <v>939</v>
      </c>
      <c r="D9" s="801">
        <f ca="1">Dep!A58</f>
        <v>27883.475997714821</v>
      </c>
      <c r="E9" s="801">
        <f ca="1">D12</f>
        <v>27541.668064419573</v>
      </c>
      <c r="F9" s="801">
        <f t="shared" ref="F9:N9" ca="1" si="0">E12</f>
        <v>26849.718864495746</v>
      </c>
      <c r="G9" s="801">
        <f t="shared" ca="1" si="0"/>
        <v>26149.436331238587</v>
      </c>
      <c r="H9" s="801">
        <f t="shared" ca="1" si="0"/>
        <v>25440.820464648092</v>
      </c>
      <c r="I9" s="801">
        <f t="shared" ca="1" si="0"/>
        <v>24723.871264724265</v>
      </c>
      <c r="J9" s="801">
        <f t="shared" ca="1" si="0"/>
        <v>23998.588731467105</v>
      </c>
      <c r="K9" s="801">
        <f t="shared" ca="1" si="0"/>
        <v>23264.97286487661</v>
      </c>
      <c r="L9" s="801">
        <f t="shared" ca="1" si="0"/>
        <v>22523.023664952783</v>
      </c>
      <c r="M9" s="801">
        <f t="shared" ca="1" si="0"/>
        <v>21772.741131695624</v>
      </c>
      <c r="N9" s="801">
        <f t="shared" ca="1" si="0"/>
        <v>21014.125265105129</v>
      </c>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row>
    <row r="10" spans="1:42" x14ac:dyDescent="0.2">
      <c r="A10" t="s">
        <v>271</v>
      </c>
      <c r="D10" s="169">
        <f>-'Sea-3 NH '!J30</f>
        <v>125</v>
      </c>
      <c r="E10" s="169">
        <f>-'Sea-3 NH '!K30</f>
        <v>250</v>
      </c>
      <c r="F10" s="169">
        <f>-'Sea-3 NH '!L30</f>
        <v>250</v>
      </c>
      <c r="G10" s="169">
        <f>-'Sea-3 NH '!M30</f>
        <v>250</v>
      </c>
      <c r="H10" s="169">
        <f>-'Sea-3 NH '!N30</f>
        <v>250</v>
      </c>
      <c r="I10" s="169">
        <f>-'Sea-3 NH '!O30</f>
        <v>250</v>
      </c>
      <c r="J10" s="169">
        <f>-'Sea-3 NH '!P30</f>
        <v>250</v>
      </c>
      <c r="K10" s="169">
        <f>-'Sea-3 NH '!Q30</f>
        <v>250</v>
      </c>
      <c r="L10" s="169">
        <f>-'Sea-3 NH '!R30</f>
        <v>250</v>
      </c>
      <c r="M10" s="169">
        <f>-'Sea-3 NH '!S30</f>
        <v>250</v>
      </c>
      <c r="N10" s="169">
        <f>-'Sea-3 NH '!T30</f>
        <v>250</v>
      </c>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row>
    <row r="11" spans="1:42" x14ac:dyDescent="0.2">
      <c r="A11" t="s">
        <v>936</v>
      </c>
      <c r="D11" s="79">
        <f ca="1">-'Sea-3 NH '!J29</f>
        <v>-466.80793329524704</v>
      </c>
      <c r="E11" s="79">
        <f ca="1">-'Sea-3 NH '!K29</f>
        <v>-941.94919992382734</v>
      </c>
      <c r="F11" s="79">
        <f ca="1">-'Sea-3 NH '!L29</f>
        <v>-950.28253325716071</v>
      </c>
      <c r="G11" s="79">
        <f ca="1">-'Sea-3 NH '!M29</f>
        <v>-958.61586659049408</v>
      </c>
      <c r="H11" s="79">
        <f ca="1">-'Sea-3 NH '!N29</f>
        <v>-966.94919992382734</v>
      </c>
      <c r="I11" s="79">
        <f ca="1">-'Sea-3 NH '!O29</f>
        <v>-975.28253325716071</v>
      </c>
      <c r="J11" s="79">
        <f ca="1">-'Sea-3 NH '!P29</f>
        <v>-983.61586659049408</v>
      </c>
      <c r="K11" s="79">
        <f ca="1">-'Sea-3 NH '!Q29</f>
        <v>-991.94919992382734</v>
      </c>
      <c r="L11" s="79">
        <f ca="1">-'Sea-3 NH '!R29</f>
        <v>-1000.2825332571607</v>
      </c>
      <c r="M11" s="79">
        <f ca="1">-'Sea-3 NH '!S29</f>
        <v>-1008.6158665904941</v>
      </c>
      <c r="N11" s="79">
        <f ca="1">-'Sea-3 NH '!T29</f>
        <v>-1016.9491999238273</v>
      </c>
      <c r="O11" s="169"/>
      <c r="P11" s="169"/>
      <c r="Q11" s="169"/>
      <c r="R11" s="169"/>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row>
    <row r="12" spans="1:42" x14ac:dyDescent="0.2">
      <c r="A12" t="s">
        <v>937</v>
      </c>
      <c r="D12" s="801">
        <f t="shared" ref="D12:N12" ca="1" si="1">SUM(D9:D11)</f>
        <v>27541.668064419573</v>
      </c>
      <c r="E12" s="801">
        <f t="shared" ca="1" si="1"/>
        <v>26849.718864495746</v>
      </c>
      <c r="F12" s="801">
        <f t="shared" ca="1" si="1"/>
        <v>26149.436331238587</v>
      </c>
      <c r="G12" s="801">
        <f t="shared" ca="1" si="1"/>
        <v>25440.820464648092</v>
      </c>
      <c r="H12" s="801">
        <f t="shared" ca="1" si="1"/>
        <v>24723.871264724265</v>
      </c>
      <c r="I12" s="801">
        <f t="shared" ca="1" si="1"/>
        <v>23998.588731467105</v>
      </c>
      <c r="J12" s="801">
        <f t="shared" ca="1" si="1"/>
        <v>23264.97286487661</v>
      </c>
      <c r="K12" s="801">
        <f t="shared" ca="1" si="1"/>
        <v>22523.023664952783</v>
      </c>
      <c r="L12" s="801">
        <f t="shared" ca="1" si="1"/>
        <v>21772.741131695624</v>
      </c>
      <c r="M12" s="801">
        <f t="shared" ca="1" si="1"/>
        <v>21014.125265105129</v>
      </c>
      <c r="N12" s="801">
        <f t="shared" ca="1" si="1"/>
        <v>20247.176065181302</v>
      </c>
      <c r="O12" s="169"/>
      <c r="P12" s="169"/>
      <c r="Q12" s="169"/>
      <c r="R12" s="169"/>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row>
    <row r="13" spans="1:42" x14ac:dyDescent="0.2">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row>
    <row r="14" spans="1:42" x14ac:dyDescent="0.2">
      <c r="A14" s="80" t="s">
        <v>938</v>
      </c>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row>
    <row r="15" spans="1:42" x14ac:dyDescent="0.2">
      <c r="D15" s="169"/>
      <c r="E15" s="169"/>
      <c r="F15" s="169"/>
      <c r="G15" s="169"/>
      <c r="H15" s="169"/>
      <c r="I15" s="169"/>
      <c r="J15" s="169"/>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row>
    <row r="16" spans="1:42" x14ac:dyDescent="0.2">
      <c r="A16" t="s">
        <v>939</v>
      </c>
      <c r="D16" s="801">
        <f ca="1">Dep!A58</f>
        <v>27883.475997714821</v>
      </c>
      <c r="E16" s="801">
        <f ca="1">D19</f>
        <v>26007.270387678098</v>
      </c>
      <c r="F16" s="801">
        <f t="shared" ref="F16:N16" ca="1" si="2">E19</f>
        <v>19362.269615837737</v>
      </c>
      <c r="G16" s="801">
        <f t="shared" ca="1" si="2"/>
        <v>14616.637163837415</v>
      </c>
      <c r="H16" s="801">
        <f t="shared" ca="1" si="2"/>
        <v>11227.703511722833</v>
      </c>
      <c r="I16" s="801">
        <f t="shared" ca="1" si="2"/>
        <v>8804.6466051268999</v>
      </c>
      <c r="J16" s="801">
        <f t="shared" ca="1" si="2"/>
        <v>6362.0655461307379</v>
      </c>
      <c r="K16" s="801">
        <f t="shared" ca="1" si="2"/>
        <v>3894.3836395348044</v>
      </c>
      <c r="L16" s="801">
        <f t="shared" ca="1" si="2"/>
        <v>2656.3556100367232</v>
      </c>
      <c r="M16" s="801">
        <f t="shared" ca="1" si="2"/>
        <v>655.14999999999918</v>
      </c>
      <c r="N16" s="801">
        <f t="shared" ca="1" si="2"/>
        <v>655.14999999999918</v>
      </c>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row>
    <row r="17" spans="1:42" x14ac:dyDescent="0.2">
      <c r="A17" t="s">
        <v>271</v>
      </c>
      <c r="D17" s="169">
        <f>D10</f>
        <v>125</v>
      </c>
      <c r="E17" s="169">
        <f t="shared" ref="E17:N17" si="3">E10</f>
        <v>250</v>
      </c>
      <c r="F17" s="169">
        <f t="shared" si="3"/>
        <v>250</v>
      </c>
      <c r="G17" s="169">
        <f t="shared" si="3"/>
        <v>250</v>
      </c>
      <c r="H17" s="169">
        <f t="shared" si="3"/>
        <v>250</v>
      </c>
      <c r="I17" s="169">
        <f t="shared" si="3"/>
        <v>250</v>
      </c>
      <c r="J17" s="169">
        <f t="shared" si="3"/>
        <v>250</v>
      </c>
      <c r="K17" s="169">
        <f t="shared" si="3"/>
        <v>250</v>
      </c>
      <c r="L17" s="169">
        <f t="shared" si="3"/>
        <v>250</v>
      </c>
      <c r="M17" s="169">
        <f t="shared" si="3"/>
        <v>250</v>
      </c>
      <c r="N17" s="169">
        <f t="shared" si="3"/>
        <v>250</v>
      </c>
      <c r="O17" s="169"/>
      <c r="P17" s="16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row>
    <row r="18" spans="1:42" x14ac:dyDescent="0.2">
      <c r="A18" t="s">
        <v>936</v>
      </c>
      <c r="D18" s="79">
        <f ca="1">-(Dep!F79+Dep!F87/2)/2</f>
        <v>-2001.205610036724</v>
      </c>
      <c r="E18" s="79">
        <f ca="1">-(Dep!G79+Dep!G87/2)</f>
        <v>-6895.0007718403594</v>
      </c>
      <c r="F18" s="79">
        <f ca="1">-(Dep!H79+Dep!H87/2)</f>
        <v>-4995.6324520003218</v>
      </c>
      <c r="G18" s="79">
        <f ca="1">-(Dep!I79+Dep!I87/2)</f>
        <v>-3638.933652114581</v>
      </c>
      <c r="H18" s="79">
        <f ca="1">-(Dep!J79+Dep!J87/2)</f>
        <v>-2673.0569065959335</v>
      </c>
      <c r="I18" s="79">
        <f ca="1">-(Dep!K79+Dep!K87/2)</f>
        <v>-2692.581058996162</v>
      </c>
      <c r="J18" s="79">
        <f ca="1">-(Dep!L79+Dep!L87/2)</f>
        <v>-2717.6819065959335</v>
      </c>
      <c r="K18" s="79">
        <f ca="1">-(Dep!M79+Dep!M87/2)</f>
        <v>-1488.028029498081</v>
      </c>
      <c r="L18" s="79">
        <f ca="1">-(Dep!N79+Dep!N87/2)+D18</f>
        <v>-2251.205610036724</v>
      </c>
      <c r="M18" s="79">
        <f ca="1">-(Dep!O79+Dep!O87/2)</f>
        <v>-250</v>
      </c>
      <c r="N18" s="79">
        <f ca="1">-(Dep!P79+Dep!P87/2)</f>
        <v>-250</v>
      </c>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row>
    <row r="19" spans="1:42" x14ac:dyDescent="0.2">
      <c r="A19" t="s">
        <v>937</v>
      </c>
      <c r="D19" s="801">
        <f t="shared" ref="D19:N19" ca="1" si="4">SUM(D16:D18)</f>
        <v>26007.270387678098</v>
      </c>
      <c r="E19" s="801">
        <f t="shared" ca="1" si="4"/>
        <v>19362.269615837737</v>
      </c>
      <c r="F19" s="801">
        <f t="shared" ca="1" si="4"/>
        <v>14616.637163837415</v>
      </c>
      <c r="G19" s="801">
        <f t="shared" ca="1" si="4"/>
        <v>11227.703511722833</v>
      </c>
      <c r="H19" s="801">
        <f t="shared" ca="1" si="4"/>
        <v>8804.6466051268999</v>
      </c>
      <c r="I19" s="801">
        <f t="shared" ca="1" si="4"/>
        <v>6362.0655461307379</v>
      </c>
      <c r="J19" s="801">
        <f t="shared" ca="1" si="4"/>
        <v>3894.3836395348044</v>
      </c>
      <c r="K19" s="801">
        <f t="shared" ca="1" si="4"/>
        <v>2656.3556100367232</v>
      </c>
      <c r="L19" s="801">
        <f t="shared" ca="1" si="4"/>
        <v>655.14999999999918</v>
      </c>
      <c r="M19" s="801">
        <f t="shared" ca="1" si="4"/>
        <v>655.14999999999918</v>
      </c>
      <c r="N19" s="801">
        <f t="shared" ca="1" si="4"/>
        <v>655.14999999999918</v>
      </c>
      <c r="O19" s="169"/>
      <c r="P19" s="169"/>
      <c r="Q19" s="169"/>
      <c r="R19" s="169"/>
      <c r="S19" s="169"/>
      <c r="T19" s="169"/>
      <c r="U19" s="169"/>
      <c r="V19" s="169"/>
      <c r="W19" s="169"/>
      <c r="X19" s="169"/>
      <c r="Y19" s="169"/>
      <c r="Z19" s="169"/>
      <c r="AA19" s="169"/>
      <c r="AB19" s="169"/>
      <c r="AC19" s="169"/>
      <c r="AD19" s="169"/>
      <c r="AE19" s="169"/>
      <c r="AF19" s="169"/>
      <c r="AG19" s="169"/>
      <c r="AH19" s="169"/>
      <c r="AI19" s="169"/>
      <c r="AJ19" s="169"/>
      <c r="AK19" s="169"/>
      <c r="AL19" s="169"/>
      <c r="AM19" s="169"/>
      <c r="AN19" s="169"/>
      <c r="AO19" s="169"/>
      <c r="AP19" s="169"/>
    </row>
    <row r="20" spans="1:42" x14ac:dyDescent="0.2">
      <c r="E20" s="169"/>
      <c r="F20" s="169"/>
      <c r="G20" s="169"/>
      <c r="H20" s="169"/>
      <c r="I20" s="169"/>
      <c r="J20" s="169"/>
      <c r="K20" s="169"/>
      <c r="L20" s="169"/>
      <c r="M20" s="169"/>
      <c r="N20" s="169"/>
      <c r="O20" s="169"/>
      <c r="P20" s="169"/>
      <c r="Q20" s="169"/>
      <c r="R20" s="169"/>
      <c r="S20" s="169"/>
      <c r="T20" s="169"/>
      <c r="U20" s="169"/>
      <c r="V20" s="169"/>
      <c r="W20" s="169"/>
      <c r="X20" s="169"/>
      <c r="Y20" s="169"/>
      <c r="Z20" s="169"/>
      <c r="AA20" s="169"/>
      <c r="AB20" s="169"/>
      <c r="AC20" s="169"/>
      <c r="AD20" s="169"/>
      <c r="AE20" s="169"/>
      <c r="AF20" s="169"/>
      <c r="AG20" s="169"/>
      <c r="AH20" s="169"/>
      <c r="AI20" s="169"/>
      <c r="AJ20" s="169"/>
      <c r="AK20" s="169"/>
      <c r="AL20" s="169"/>
      <c r="AM20" s="169"/>
      <c r="AN20" s="169"/>
      <c r="AO20" s="169"/>
      <c r="AP20" s="169"/>
    </row>
    <row r="21" spans="1:42" x14ac:dyDescent="0.2">
      <c r="A21" t="s">
        <v>938</v>
      </c>
      <c r="D21" s="76">
        <f ca="1">D18</f>
        <v>-2001.205610036724</v>
      </c>
      <c r="E21" s="76">
        <f t="shared" ref="E21:N21" ca="1" si="5">E18</f>
        <v>-6895.0007718403594</v>
      </c>
      <c r="F21" s="76">
        <f t="shared" ca="1" si="5"/>
        <v>-4995.6324520003218</v>
      </c>
      <c r="G21" s="76">
        <f t="shared" ca="1" si="5"/>
        <v>-3638.933652114581</v>
      </c>
      <c r="H21" s="76">
        <f t="shared" ca="1" si="5"/>
        <v>-2673.0569065959335</v>
      </c>
      <c r="I21" s="76">
        <f t="shared" ca="1" si="5"/>
        <v>-2692.581058996162</v>
      </c>
      <c r="J21" s="76">
        <f t="shared" ca="1" si="5"/>
        <v>-2717.6819065959335</v>
      </c>
      <c r="K21" s="76">
        <f t="shared" ca="1" si="5"/>
        <v>-1488.028029498081</v>
      </c>
      <c r="L21" s="76">
        <f t="shared" ca="1" si="5"/>
        <v>-2251.205610036724</v>
      </c>
      <c r="M21" s="76">
        <f t="shared" ca="1" si="5"/>
        <v>-250</v>
      </c>
      <c r="N21" s="76">
        <f t="shared" ca="1" si="5"/>
        <v>-250</v>
      </c>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L21" s="169"/>
      <c r="AM21" s="169"/>
      <c r="AN21" s="169"/>
      <c r="AO21" s="169"/>
      <c r="AP21" s="169"/>
    </row>
    <row r="22" spans="1:42" x14ac:dyDescent="0.2">
      <c r="A22" t="s">
        <v>935</v>
      </c>
      <c r="D22" s="76">
        <f ca="1">D11</f>
        <v>-466.80793329524704</v>
      </c>
      <c r="E22" s="76">
        <f t="shared" ref="E22:N22" ca="1" si="6">E11</f>
        <v>-941.94919992382734</v>
      </c>
      <c r="F22" s="76">
        <f t="shared" ca="1" si="6"/>
        <v>-950.28253325716071</v>
      </c>
      <c r="G22" s="76">
        <f t="shared" ca="1" si="6"/>
        <v>-958.61586659049408</v>
      </c>
      <c r="H22" s="76">
        <f t="shared" ca="1" si="6"/>
        <v>-966.94919992382734</v>
      </c>
      <c r="I22" s="76">
        <f t="shared" ca="1" si="6"/>
        <v>-975.28253325716071</v>
      </c>
      <c r="J22" s="76">
        <f t="shared" ca="1" si="6"/>
        <v>-983.61586659049408</v>
      </c>
      <c r="K22" s="76">
        <f t="shared" ca="1" si="6"/>
        <v>-991.94919992382734</v>
      </c>
      <c r="L22" s="76">
        <f t="shared" ca="1" si="6"/>
        <v>-1000.2825332571607</v>
      </c>
      <c r="M22" s="76">
        <f t="shared" ca="1" si="6"/>
        <v>-1008.6158665904941</v>
      </c>
      <c r="N22" s="76">
        <f t="shared" ca="1" si="6"/>
        <v>-1016.9491999238273</v>
      </c>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s="169"/>
      <c r="AM22" s="169"/>
      <c r="AN22" s="169"/>
      <c r="AO22" s="169"/>
      <c r="AP22" s="169"/>
    </row>
    <row r="23" spans="1:42" x14ac:dyDescent="0.2">
      <c r="A23" t="s">
        <v>962</v>
      </c>
      <c r="D23" s="794">
        <f ca="1">D22-D21</f>
        <v>1534.397676741477</v>
      </c>
      <c r="E23" s="794">
        <f t="shared" ref="E23:N23" ca="1" si="7">E22-E21</f>
        <v>5953.0515719165323</v>
      </c>
      <c r="F23" s="794">
        <f t="shared" ca="1" si="7"/>
        <v>4045.3499187431612</v>
      </c>
      <c r="G23" s="794">
        <f t="shared" ca="1" si="7"/>
        <v>2680.317785524087</v>
      </c>
      <c r="H23" s="794">
        <f t="shared" ca="1" si="7"/>
        <v>1706.1077066721061</v>
      </c>
      <c r="I23" s="794">
        <f t="shared" ca="1" si="7"/>
        <v>1717.2985257390014</v>
      </c>
      <c r="J23" s="794">
        <f t="shared" ca="1" si="7"/>
        <v>1734.0660400054394</v>
      </c>
      <c r="K23" s="794">
        <f t="shared" ca="1" si="7"/>
        <v>496.07882957425363</v>
      </c>
      <c r="L23" s="794">
        <f t="shared" ca="1" si="7"/>
        <v>1250.9230767795634</v>
      </c>
      <c r="M23" s="794">
        <f t="shared" ca="1" si="7"/>
        <v>-758.61586659049408</v>
      </c>
      <c r="N23" s="794">
        <f t="shared" ca="1" si="7"/>
        <v>-766.94919992382734</v>
      </c>
      <c r="O23" s="169"/>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row>
    <row r="24" spans="1:42" x14ac:dyDescent="0.2">
      <c r="A24" t="s">
        <v>959</v>
      </c>
      <c r="D24" s="801">
        <f ca="1">D23*Assumptions!$B$8</f>
        <v>537.03918685951692</v>
      </c>
      <c r="E24" s="801">
        <f ca="1">E23*Assumptions!$B$8</f>
        <v>2083.5680501707861</v>
      </c>
      <c r="F24" s="801">
        <f ca="1">F23*Assumptions!$B$8</f>
        <v>1415.8724715601063</v>
      </c>
      <c r="G24" s="801">
        <f ca="1">G23*Assumptions!$B$8</f>
        <v>938.11122493343032</v>
      </c>
      <c r="H24" s="801">
        <f ca="1">H23*Assumptions!$B$8</f>
        <v>597.13769733523714</v>
      </c>
      <c r="I24" s="801">
        <f ca="1">I23*Assumptions!$B$8</f>
        <v>601.05448400865043</v>
      </c>
      <c r="J24" s="801">
        <f ca="1">J23*Assumptions!$B$8</f>
        <v>606.92311400190374</v>
      </c>
      <c r="K24" s="801">
        <f ca="1">K23*Assumptions!$B$8</f>
        <v>173.62759035098875</v>
      </c>
      <c r="L24" s="801">
        <f ca="1">L23*Assumptions!$B$8</f>
        <v>437.8230768728472</v>
      </c>
      <c r="M24" s="801">
        <f ca="1">M23*Assumptions!$B$8</f>
        <v>-265.51555330667293</v>
      </c>
      <c r="N24" s="801">
        <f ca="1">N23*Assumptions!$B$8</f>
        <v>-268.43221997333956</v>
      </c>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c r="AM24" s="169"/>
      <c r="AN24" s="169"/>
      <c r="AO24" s="169"/>
      <c r="AP24" s="169"/>
    </row>
    <row r="25" spans="1:42" x14ac:dyDescent="0.2">
      <c r="E25" s="169"/>
      <c r="F25" s="169"/>
      <c r="G25" s="169"/>
      <c r="H25" s="169"/>
      <c r="I25" s="169"/>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row>
    <row r="26" spans="1:42" x14ac:dyDescent="0.2">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row>
    <row r="27" spans="1:42" x14ac:dyDescent="0.2">
      <c r="E27" s="169"/>
      <c r="F27" s="169"/>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c r="AO27" s="169"/>
      <c r="AP27" s="169"/>
    </row>
    <row r="28" spans="1:42" x14ac:dyDescent="0.2">
      <c r="E28" s="169"/>
      <c r="F28" s="169"/>
      <c r="G28" s="169"/>
      <c r="H28" s="169"/>
      <c r="I28" s="169"/>
      <c r="J28" s="169"/>
      <c r="K28" s="169"/>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69"/>
      <c r="AL28" s="169"/>
      <c r="AM28" s="169"/>
      <c r="AN28" s="169"/>
      <c r="AO28" s="169"/>
      <c r="AP28" s="169"/>
    </row>
    <row r="29" spans="1:42" x14ac:dyDescent="0.2">
      <c r="E29" s="169"/>
      <c r="F29" s="169"/>
      <c r="G29" s="169"/>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row>
    <row r="30" spans="1:42" x14ac:dyDescent="0.2">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c r="AO30" s="169"/>
      <c r="AP30" s="169"/>
    </row>
    <row r="31" spans="1:42" x14ac:dyDescent="0.2">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row>
    <row r="32" spans="1:42" x14ac:dyDescent="0.2">
      <c r="E32" s="169"/>
      <c r="F32" s="169"/>
      <c r="G32" s="169"/>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row>
    <row r="33" spans="5:42" x14ac:dyDescent="0.2">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row>
    <row r="34" spans="5:42" x14ac:dyDescent="0.2">
      <c r="E34" s="169"/>
      <c r="F34" s="169"/>
      <c r="G34" s="169"/>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row>
    <row r="35" spans="5:42" x14ac:dyDescent="0.2">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row>
    <row r="36" spans="5:42" x14ac:dyDescent="0.2">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row>
    <row r="37" spans="5:42" x14ac:dyDescent="0.2">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c r="AO37" s="169"/>
      <c r="AP37" s="169"/>
    </row>
    <row r="38" spans="5:42" x14ac:dyDescent="0.2">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69"/>
      <c r="AM38" s="169"/>
      <c r="AN38" s="169"/>
      <c r="AO38" s="169"/>
      <c r="AP38" s="169"/>
    </row>
    <row r="39" spans="5:42" x14ac:dyDescent="0.2">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69"/>
      <c r="AL39" s="169"/>
      <c r="AM39" s="169"/>
      <c r="AN39" s="169"/>
      <c r="AO39" s="169"/>
      <c r="AP39" s="169"/>
    </row>
    <row r="40" spans="5:42" x14ac:dyDescent="0.2">
      <c r="E40" s="169"/>
      <c r="F40" s="169"/>
      <c r="G40" s="169"/>
      <c r="H40" s="169"/>
      <c r="I40" s="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c r="AL40" s="169"/>
      <c r="AM40" s="169"/>
      <c r="AN40" s="169"/>
      <c r="AO40" s="169"/>
      <c r="AP40" s="169"/>
    </row>
    <row r="41" spans="5:42" x14ac:dyDescent="0.2">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row>
    <row r="42" spans="5:42" x14ac:dyDescent="0.2">
      <c r="E42" s="169"/>
      <c r="F42" s="169"/>
      <c r="G42" s="169"/>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row>
    <row r="43" spans="5:42" x14ac:dyDescent="0.2">
      <c r="E43" s="169"/>
      <c r="F43" s="169"/>
      <c r="G43" s="169"/>
      <c r="H43" s="169"/>
      <c r="I43" s="169"/>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row>
    <row r="44" spans="5:42" x14ac:dyDescent="0.2">
      <c r="E44" s="169"/>
      <c r="F44" s="169"/>
      <c r="G44" s="169"/>
      <c r="H44" s="169"/>
      <c r="I44" s="169"/>
      <c r="J44" s="169"/>
      <c r="K44" s="169"/>
      <c r="L44" s="169"/>
      <c r="M44" s="169"/>
      <c r="N44" s="169"/>
      <c r="O44" s="169"/>
      <c r="P44" s="169"/>
      <c r="Q44" s="169"/>
      <c r="R44" s="169"/>
      <c r="S44" s="169"/>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row>
    <row r="45" spans="5:42" x14ac:dyDescent="0.2">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row>
    <row r="46" spans="5:42" x14ac:dyDescent="0.2">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c r="AE46" s="169"/>
      <c r="AF46" s="169"/>
      <c r="AG46" s="169"/>
      <c r="AH46" s="169"/>
      <c r="AI46" s="169"/>
      <c r="AJ46" s="169"/>
      <c r="AK46" s="169"/>
      <c r="AL46" s="169"/>
      <c r="AM46" s="169"/>
      <c r="AN46" s="169"/>
      <c r="AO46" s="169"/>
      <c r="AP46" s="169"/>
    </row>
    <row r="47" spans="5:42" x14ac:dyDescent="0.2">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row>
    <row r="48" spans="5:42" x14ac:dyDescent="0.2">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row>
    <row r="49" spans="5:42" x14ac:dyDescent="0.2">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row>
    <row r="50" spans="5:42" x14ac:dyDescent="0.2">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row>
    <row r="51" spans="5:42" x14ac:dyDescent="0.2">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row>
    <row r="52" spans="5:42" x14ac:dyDescent="0.2">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row>
    <row r="53" spans="5:42" x14ac:dyDescent="0.2">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row>
    <row r="54" spans="5:42" x14ac:dyDescent="0.2">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row>
    <row r="55" spans="5:42" x14ac:dyDescent="0.2">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row>
    <row r="56" spans="5:42" x14ac:dyDescent="0.2">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row>
    <row r="57" spans="5:42" x14ac:dyDescent="0.2">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row>
    <row r="58" spans="5:42" x14ac:dyDescent="0.2">
      <c r="E58" s="169"/>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row>
    <row r="59" spans="5:42" x14ac:dyDescent="0.2">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row>
    <row r="60" spans="5:42" x14ac:dyDescent="0.2">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row>
    <row r="61" spans="5:42" x14ac:dyDescent="0.2">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row>
    <row r="62" spans="5:42" x14ac:dyDescent="0.2">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row>
    <row r="63" spans="5:42" x14ac:dyDescent="0.2">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row>
    <row r="64" spans="5:42" x14ac:dyDescent="0.2">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row>
    <row r="65" spans="5:42" x14ac:dyDescent="0.2">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row>
    <row r="66" spans="5:42" x14ac:dyDescent="0.2">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row>
    <row r="67" spans="5:42" x14ac:dyDescent="0.2">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row>
    <row r="68" spans="5:42" x14ac:dyDescent="0.2">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row>
    <row r="69" spans="5:42" x14ac:dyDescent="0.2">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row>
    <row r="70" spans="5:42" x14ac:dyDescent="0.2">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row>
    <row r="71" spans="5:42" x14ac:dyDescent="0.2">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row>
    <row r="72" spans="5:42" x14ac:dyDescent="0.2">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row>
    <row r="73" spans="5:42" x14ac:dyDescent="0.2">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row>
    <row r="74" spans="5:42" x14ac:dyDescent="0.2">
      <c r="E74" s="169"/>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row>
    <row r="75" spans="5:42" x14ac:dyDescent="0.2">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row>
    <row r="76" spans="5:42" x14ac:dyDescent="0.2">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row>
    <row r="77" spans="5:42" x14ac:dyDescent="0.2">
      <c r="E77" s="169"/>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row>
    <row r="78" spans="5:42" x14ac:dyDescent="0.2">
      <c r="E78" s="169"/>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row>
    <row r="79" spans="5:42" x14ac:dyDescent="0.2">
      <c r="E79" s="169"/>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row>
    <row r="80" spans="5:42" x14ac:dyDescent="0.2">
      <c r="E80" s="169"/>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row>
    <row r="81" spans="5:42" x14ac:dyDescent="0.2">
      <c r="E81" s="169"/>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row>
    <row r="82" spans="5:42" x14ac:dyDescent="0.2">
      <c r="E82" s="169"/>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row>
    <row r="83" spans="5:42" x14ac:dyDescent="0.2">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row>
    <row r="84" spans="5:42" x14ac:dyDescent="0.2">
      <c r="E84" s="169"/>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row>
    <row r="85" spans="5:42" x14ac:dyDescent="0.2">
      <c r="E85" s="169"/>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row>
    <row r="86" spans="5:42" x14ac:dyDescent="0.2">
      <c r="E86" s="169"/>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row>
    <row r="87" spans="5:42" x14ac:dyDescent="0.2">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row>
    <row r="88" spans="5:42" x14ac:dyDescent="0.2">
      <c r="E88" s="169"/>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row>
    <row r="89" spans="5:42" x14ac:dyDescent="0.2">
      <c r="E89" s="169"/>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row>
    <row r="90" spans="5:42" x14ac:dyDescent="0.2">
      <c r="E90" s="169"/>
      <c r="F90" s="169"/>
      <c r="G90" s="169"/>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row>
    <row r="91" spans="5:42" x14ac:dyDescent="0.2">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row>
    <row r="92" spans="5:42" x14ac:dyDescent="0.2">
      <c r="E92" s="169"/>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row>
    <row r="93" spans="5:42" x14ac:dyDescent="0.2">
      <c r="E93" s="169"/>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row>
    <row r="94" spans="5:42" x14ac:dyDescent="0.2">
      <c r="E94" s="169"/>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row>
    <row r="95" spans="5:42" x14ac:dyDescent="0.2">
      <c r="E95" s="169"/>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row>
    <row r="96" spans="5:42" x14ac:dyDescent="0.2">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row>
    <row r="97" spans="5:42" x14ac:dyDescent="0.2">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row>
    <row r="98" spans="5:42" x14ac:dyDescent="0.2">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row>
    <row r="99" spans="5:42" x14ac:dyDescent="0.2">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row>
    <row r="100" spans="5:42" x14ac:dyDescent="0.2">
      <c r="E100" s="169"/>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row>
    <row r="101" spans="5:42" x14ac:dyDescent="0.2">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row>
    <row r="102" spans="5:42" x14ac:dyDescent="0.2">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row>
    <row r="103" spans="5:42" x14ac:dyDescent="0.2">
      <c r="E103" s="169"/>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row>
    <row r="104" spans="5:42" x14ac:dyDescent="0.2">
      <c r="E104" s="169"/>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row>
    <row r="105" spans="5:42" x14ac:dyDescent="0.2">
      <c r="E105" s="169"/>
      <c r="F105" s="169"/>
      <c r="G105" s="169"/>
      <c r="H105" s="169"/>
      <c r="I105" s="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row>
    <row r="106" spans="5:42" x14ac:dyDescent="0.2">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row>
    <row r="107" spans="5:42" x14ac:dyDescent="0.2">
      <c r="E107" s="169"/>
      <c r="F107" s="169"/>
      <c r="G107" s="169"/>
      <c r="H107" s="169"/>
      <c r="I107" s="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row>
    <row r="108" spans="5:42" x14ac:dyDescent="0.2">
      <c r="E108" s="169"/>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row>
    <row r="109" spans="5:42" x14ac:dyDescent="0.2">
      <c r="E109" s="169"/>
      <c r="F109" s="169"/>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row>
    <row r="110" spans="5:42" x14ac:dyDescent="0.2">
      <c r="E110" s="169"/>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row>
    <row r="111" spans="5:42" x14ac:dyDescent="0.2">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row>
    <row r="112" spans="5:42" x14ac:dyDescent="0.2">
      <c r="E112" s="169"/>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row>
    <row r="113" spans="5:42" x14ac:dyDescent="0.2">
      <c r="E113" s="169"/>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row>
    <row r="114" spans="5:42" x14ac:dyDescent="0.2">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row>
    <row r="115" spans="5:42" x14ac:dyDescent="0.2">
      <c r="E115" s="169"/>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row>
    <row r="116" spans="5:42" x14ac:dyDescent="0.2">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row>
    <row r="117" spans="5:42" x14ac:dyDescent="0.2">
      <c r="E117" s="169"/>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row>
    <row r="118" spans="5:42" x14ac:dyDescent="0.2">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row>
    <row r="119" spans="5:42" x14ac:dyDescent="0.2">
      <c r="E119" s="169"/>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row>
    <row r="120" spans="5:42" x14ac:dyDescent="0.2">
      <c r="E120" s="169"/>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row>
    <row r="121" spans="5:42" x14ac:dyDescent="0.2">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row>
    <row r="122" spans="5:42" x14ac:dyDescent="0.2">
      <c r="E122" s="169"/>
      <c r="F122" s="169"/>
      <c r="G122" s="169"/>
      <c r="H122" s="169"/>
      <c r="I122" s="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row>
    <row r="123" spans="5:42" x14ac:dyDescent="0.2">
      <c r="E123" s="169"/>
      <c r="F123" s="169"/>
      <c r="G123" s="169"/>
      <c r="H123" s="169"/>
      <c r="I123" s="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row>
    <row r="124" spans="5:42" x14ac:dyDescent="0.2">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row>
    <row r="125" spans="5:42" x14ac:dyDescent="0.2">
      <c r="E125" s="169"/>
      <c r="F125" s="169"/>
      <c r="G125" s="169"/>
      <c r="H125" s="169"/>
      <c r="I125" s="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row>
    <row r="126" spans="5:42" x14ac:dyDescent="0.2">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row>
    <row r="127" spans="5:42" x14ac:dyDescent="0.2">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row>
    <row r="128" spans="5:42" x14ac:dyDescent="0.2">
      <c r="E128" s="169"/>
      <c r="F128" s="169"/>
      <c r="G128" s="169"/>
      <c r="H128" s="169"/>
      <c r="I128" s="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row>
    <row r="129" spans="5:42" x14ac:dyDescent="0.2">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row>
    <row r="130" spans="5:42" x14ac:dyDescent="0.2">
      <c r="E130" s="169"/>
      <c r="F130" s="169"/>
      <c r="G130" s="169"/>
      <c r="H130" s="169"/>
      <c r="I130" s="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row>
    <row r="131" spans="5:42" x14ac:dyDescent="0.2">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row>
    <row r="132" spans="5:42" x14ac:dyDescent="0.2">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row>
    <row r="133" spans="5:42" x14ac:dyDescent="0.2">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row>
    <row r="134" spans="5:42" x14ac:dyDescent="0.2">
      <c r="E134" s="169"/>
      <c r="F134" s="169"/>
      <c r="G134" s="169"/>
      <c r="H134" s="169"/>
      <c r="I134" s="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row>
    <row r="135" spans="5:42" x14ac:dyDescent="0.2">
      <c r="E135" s="169"/>
      <c r="F135" s="169"/>
      <c r="G135" s="169"/>
      <c r="H135" s="169"/>
      <c r="I135" s="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row>
    <row r="136" spans="5:42" x14ac:dyDescent="0.2">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row>
    <row r="137" spans="5:42" x14ac:dyDescent="0.2">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row>
    <row r="138" spans="5:42" x14ac:dyDescent="0.2">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row>
    <row r="139" spans="5:42" x14ac:dyDescent="0.2">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row>
    <row r="140" spans="5:42" x14ac:dyDescent="0.2">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row>
    <row r="141" spans="5:42" x14ac:dyDescent="0.2">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row>
    <row r="142" spans="5:42" x14ac:dyDescent="0.2">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row>
    <row r="143" spans="5:42" x14ac:dyDescent="0.2">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row>
    <row r="144" spans="5:42" x14ac:dyDescent="0.2">
      <c r="E144" s="169"/>
      <c r="F144" s="169"/>
      <c r="G144" s="169"/>
      <c r="H144" s="169"/>
      <c r="I144" s="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row>
    <row r="145" spans="5:42" x14ac:dyDescent="0.2">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row>
    <row r="146" spans="5:42" x14ac:dyDescent="0.2">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row>
    <row r="147" spans="5:42" x14ac:dyDescent="0.2">
      <c r="E147" s="169"/>
      <c r="F147" s="169"/>
      <c r="G147" s="169"/>
      <c r="H147" s="169"/>
      <c r="I147" s="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row>
    <row r="148" spans="5:42" x14ac:dyDescent="0.2">
      <c r="E148" s="169"/>
      <c r="F148" s="169"/>
      <c r="G148" s="169"/>
      <c r="H148" s="169"/>
      <c r="I148" s="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row>
    <row r="149" spans="5:42" x14ac:dyDescent="0.2">
      <c r="E149" s="169"/>
      <c r="F149" s="169"/>
      <c r="G149" s="169"/>
      <c r="H149" s="169"/>
      <c r="I149" s="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row>
    <row r="150" spans="5:42" x14ac:dyDescent="0.2">
      <c r="E150" s="169"/>
      <c r="F150" s="169"/>
      <c r="G150" s="169"/>
      <c r="H150" s="169"/>
      <c r="I150" s="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row>
    <row r="151" spans="5:42" x14ac:dyDescent="0.2">
      <c r="E151" s="169"/>
      <c r="F151" s="169"/>
      <c r="G151" s="169"/>
      <c r="H151" s="169"/>
      <c r="I151" s="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row>
    <row r="152" spans="5:42" x14ac:dyDescent="0.2">
      <c r="E152" s="169"/>
      <c r="F152" s="169"/>
      <c r="G152" s="169"/>
      <c r="H152" s="169"/>
      <c r="I152" s="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row>
    <row r="153" spans="5:42" x14ac:dyDescent="0.2">
      <c r="E153" s="169"/>
      <c r="F153" s="169"/>
      <c r="G153" s="169"/>
      <c r="H153" s="169"/>
      <c r="I153" s="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row>
    <row r="154" spans="5:42" x14ac:dyDescent="0.2">
      <c r="E154" s="169"/>
      <c r="F154" s="169"/>
      <c r="G154" s="169"/>
      <c r="H154" s="169"/>
      <c r="I154" s="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row>
    <row r="155" spans="5:42" x14ac:dyDescent="0.2">
      <c r="E155" s="169"/>
      <c r="F155" s="169"/>
      <c r="G155" s="169"/>
      <c r="H155" s="169"/>
      <c r="I155" s="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row>
    <row r="156" spans="5:42" x14ac:dyDescent="0.2">
      <c r="E156" s="169"/>
      <c r="F156" s="169"/>
      <c r="G156" s="169"/>
      <c r="H156" s="169"/>
      <c r="I156" s="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row>
    <row r="157" spans="5:42" x14ac:dyDescent="0.2">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row>
    <row r="158" spans="5:42" x14ac:dyDescent="0.2">
      <c r="E158" s="169"/>
      <c r="F158" s="169"/>
      <c r="G158" s="169"/>
      <c r="H158" s="169"/>
      <c r="I158" s="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row>
    <row r="159" spans="5:42" x14ac:dyDescent="0.2">
      <c r="E159" s="169"/>
      <c r="F159" s="169"/>
      <c r="G159" s="169"/>
      <c r="H159" s="169"/>
      <c r="I159" s="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row>
    <row r="160" spans="5:42" x14ac:dyDescent="0.2">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row>
    <row r="161" spans="5:42" x14ac:dyDescent="0.2">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row>
    <row r="162" spans="5:42" x14ac:dyDescent="0.2">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row>
    <row r="163" spans="5:42" x14ac:dyDescent="0.2">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row>
    <row r="164" spans="5:42" x14ac:dyDescent="0.2">
      <c r="E164" s="169"/>
      <c r="F164" s="169"/>
      <c r="G164" s="169"/>
      <c r="H164" s="169"/>
      <c r="I164" s="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row>
    <row r="165" spans="5:42" x14ac:dyDescent="0.2">
      <c r="E165" s="169"/>
      <c r="F165" s="169"/>
      <c r="G165" s="169"/>
      <c r="H165" s="169"/>
      <c r="I165" s="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row>
    <row r="166" spans="5:42" x14ac:dyDescent="0.2">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row>
    <row r="167" spans="5:42" x14ac:dyDescent="0.2">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row>
    <row r="168" spans="5:42" x14ac:dyDescent="0.2">
      <c r="E168" s="169"/>
      <c r="F168" s="169"/>
      <c r="G168" s="169"/>
      <c r="H168" s="169"/>
      <c r="I168" s="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row>
    <row r="169" spans="5:42" x14ac:dyDescent="0.2">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row>
    <row r="170" spans="5:42" x14ac:dyDescent="0.2">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row>
    <row r="171" spans="5:42" x14ac:dyDescent="0.2">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row>
    <row r="172" spans="5:42" x14ac:dyDescent="0.2">
      <c r="E172" s="169"/>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row>
    <row r="173" spans="5:42" x14ac:dyDescent="0.2">
      <c r="E173" s="169"/>
      <c r="F173" s="169"/>
      <c r="G173" s="169"/>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row>
    <row r="174" spans="5:42" x14ac:dyDescent="0.2">
      <c r="E174" s="169"/>
      <c r="F174" s="169"/>
      <c r="G174" s="169"/>
      <c r="H174" s="169"/>
      <c r="I174" s="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row>
    <row r="175" spans="5:42" x14ac:dyDescent="0.2">
      <c r="E175" s="169"/>
      <c r="F175" s="169"/>
      <c r="G175" s="169"/>
      <c r="H175" s="169"/>
      <c r="I175" s="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row>
    <row r="176" spans="5:42" x14ac:dyDescent="0.2">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row>
    <row r="177" spans="5:42" x14ac:dyDescent="0.2">
      <c r="E177" s="169"/>
      <c r="F177" s="169"/>
      <c r="G177" s="169"/>
      <c r="H177" s="169"/>
      <c r="I177" s="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row>
    <row r="178" spans="5:42" x14ac:dyDescent="0.2">
      <c r="E178" s="169"/>
      <c r="F178" s="169"/>
      <c r="G178" s="169"/>
      <c r="H178" s="169"/>
      <c r="I178" s="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row>
    <row r="179" spans="5:42" x14ac:dyDescent="0.2">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row>
    <row r="180" spans="5:42" x14ac:dyDescent="0.2">
      <c r="E180" s="169"/>
      <c r="F180" s="169"/>
      <c r="G180" s="169"/>
      <c r="H180" s="169"/>
      <c r="I180" s="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row>
    <row r="181" spans="5:42" x14ac:dyDescent="0.2">
      <c r="E181" s="169"/>
      <c r="F181" s="169"/>
      <c r="G181" s="169"/>
      <c r="H181" s="169"/>
      <c r="I181" s="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row>
    <row r="182" spans="5:42" x14ac:dyDescent="0.2">
      <c r="E182" s="169"/>
      <c r="F182" s="169"/>
      <c r="G182" s="169"/>
      <c r="H182" s="169"/>
      <c r="I182" s="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row>
    <row r="183" spans="5:42" x14ac:dyDescent="0.2">
      <c r="E183" s="169"/>
      <c r="F183" s="169"/>
      <c r="G183" s="169"/>
      <c r="H183" s="169"/>
      <c r="I183" s="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row>
    <row r="184" spans="5:42" x14ac:dyDescent="0.2">
      <c r="E184" s="169"/>
      <c r="F184" s="169"/>
      <c r="G184" s="169"/>
      <c r="H184" s="169"/>
      <c r="I184" s="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row>
    <row r="185" spans="5:42" x14ac:dyDescent="0.2">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row>
    <row r="186" spans="5:42" x14ac:dyDescent="0.2">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row>
    <row r="187" spans="5:42" x14ac:dyDescent="0.2">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row>
    <row r="188" spans="5:42" x14ac:dyDescent="0.2">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row>
    <row r="189" spans="5:42" x14ac:dyDescent="0.2">
      <c r="E189" s="169"/>
      <c r="F189" s="169"/>
      <c r="G189" s="169"/>
      <c r="H189" s="169"/>
      <c r="I189" s="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row>
    <row r="190" spans="5:42" x14ac:dyDescent="0.2">
      <c r="E190" s="169"/>
      <c r="F190" s="169"/>
      <c r="G190" s="169"/>
      <c r="H190" s="169"/>
      <c r="I190" s="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row>
    <row r="191" spans="5:42" x14ac:dyDescent="0.2">
      <c r="E191" s="169"/>
      <c r="F191" s="169"/>
      <c r="G191" s="169"/>
      <c r="H191" s="169"/>
      <c r="I191" s="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row>
    <row r="192" spans="5:42" x14ac:dyDescent="0.2">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row>
    <row r="193" spans="5:42" x14ac:dyDescent="0.2">
      <c r="E193" s="169"/>
      <c r="F193" s="169"/>
      <c r="G193" s="169"/>
      <c r="H193" s="169"/>
      <c r="I193" s="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row>
    <row r="194" spans="5:42" x14ac:dyDescent="0.2">
      <c r="E194" s="169"/>
      <c r="F194" s="169"/>
      <c r="G194" s="169"/>
      <c r="H194" s="169"/>
      <c r="I194" s="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row>
    <row r="195" spans="5:42" x14ac:dyDescent="0.2">
      <c r="E195" s="169"/>
      <c r="F195" s="169"/>
      <c r="G195" s="169"/>
      <c r="H195" s="169"/>
      <c r="I195" s="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row>
    <row r="196" spans="5:42" x14ac:dyDescent="0.2">
      <c r="E196" s="169"/>
      <c r="F196" s="169"/>
      <c r="G196" s="169"/>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row>
    <row r="197" spans="5:42" x14ac:dyDescent="0.2">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row>
    <row r="198" spans="5:42" x14ac:dyDescent="0.2">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row>
    <row r="199" spans="5:42" x14ac:dyDescent="0.2">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row>
    <row r="200" spans="5:42" x14ac:dyDescent="0.2">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row>
    <row r="201" spans="5:42" x14ac:dyDescent="0.2">
      <c r="E201" s="169"/>
      <c r="F201" s="169"/>
      <c r="G201" s="169"/>
      <c r="H201" s="169"/>
      <c r="I201" s="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row>
    <row r="202" spans="5:42" x14ac:dyDescent="0.2">
      <c r="E202" s="169"/>
      <c r="F202" s="169"/>
      <c r="G202" s="169"/>
      <c r="H202" s="169"/>
      <c r="I202" s="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row>
    <row r="203" spans="5:42" x14ac:dyDescent="0.2">
      <c r="E203" s="169"/>
      <c r="F203" s="169"/>
      <c r="G203" s="169"/>
      <c r="H203" s="169"/>
      <c r="I203" s="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row>
    <row r="204" spans="5:42" x14ac:dyDescent="0.2">
      <c r="E204" s="169"/>
      <c r="F204" s="169"/>
      <c r="G204" s="169"/>
      <c r="H204" s="169"/>
      <c r="I204" s="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row>
    <row r="205" spans="5:42" x14ac:dyDescent="0.2">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row>
    <row r="206" spans="5:42" x14ac:dyDescent="0.2">
      <c r="E206" s="169"/>
      <c r="F206" s="169"/>
      <c r="G206" s="169"/>
      <c r="H206" s="169"/>
      <c r="I206" s="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row>
    <row r="207" spans="5:42" x14ac:dyDescent="0.2">
      <c r="E207" s="169"/>
      <c r="F207" s="169"/>
      <c r="G207" s="169"/>
      <c r="H207" s="169"/>
      <c r="I207" s="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row>
    <row r="208" spans="5:42" x14ac:dyDescent="0.2">
      <c r="E208" s="169"/>
      <c r="F208" s="169"/>
      <c r="G208" s="169"/>
      <c r="H208" s="169"/>
      <c r="I208" s="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row>
    <row r="209" spans="5:42" x14ac:dyDescent="0.2">
      <c r="E209" s="169"/>
      <c r="F209" s="169"/>
      <c r="G209" s="169"/>
      <c r="H209" s="169"/>
      <c r="I209" s="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row>
    <row r="210" spans="5:42" x14ac:dyDescent="0.2">
      <c r="E210" s="169"/>
      <c r="F210" s="169"/>
      <c r="G210" s="169"/>
      <c r="H210" s="169"/>
      <c r="I210" s="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row>
    <row r="211" spans="5:42" x14ac:dyDescent="0.2">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row>
    <row r="212" spans="5:42" x14ac:dyDescent="0.2">
      <c r="E212" s="169"/>
      <c r="F212" s="169"/>
      <c r="G212" s="169"/>
      <c r="H212" s="169"/>
      <c r="I212" s="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row>
    <row r="213" spans="5:42" x14ac:dyDescent="0.2">
      <c r="E213" s="169"/>
      <c r="F213" s="169"/>
      <c r="G213" s="169"/>
      <c r="H213" s="169"/>
      <c r="I213" s="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row>
    <row r="214" spans="5:42" x14ac:dyDescent="0.2">
      <c r="E214" s="169"/>
      <c r="F214" s="169"/>
      <c r="G214" s="169"/>
      <c r="H214" s="169"/>
      <c r="I214" s="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row>
    <row r="215" spans="5:42" x14ac:dyDescent="0.2">
      <c r="E215" s="169"/>
      <c r="F215" s="169"/>
      <c r="G215" s="169"/>
      <c r="H215" s="169"/>
      <c r="I215" s="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row>
    <row r="216" spans="5:42" x14ac:dyDescent="0.2">
      <c r="E216" s="169"/>
      <c r="F216" s="16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row>
    <row r="217" spans="5:42" x14ac:dyDescent="0.2">
      <c r="E217" s="169"/>
      <c r="F217" s="169"/>
      <c r="G217" s="169"/>
      <c r="H217" s="169"/>
      <c r="I217" s="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row>
    <row r="218" spans="5:42" x14ac:dyDescent="0.2">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row>
    <row r="219" spans="5:42" x14ac:dyDescent="0.2">
      <c r="E219" s="169"/>
      <c r="F219" s="169"/>
      <c r="G219" s="169"/>
      <c r="H219" s="169"/>
      <c r="I219" s="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row>
    <row r="220" spans="5:42" x14ac:dyDescent="0.2">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row>
    <row r="221" spans="5:42" x14ac:dyDescent="0.2">
      <c r="E221" s="169"/>
      <c r="F221" s="169"/>
      <c r="G221" s="169"/>
      <c r="H221" s="169"/>
      <c r="I221" s="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row>
    <row r="222" spans="5:42" x14ac:dyDescent="0.2">
      <c r="E222" s="169"/>
      <c r="F222" s="169"/>
      <c r="G222" s="169"/>
      <c r="H222" s="169"/>
      <c r="I222" s="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row>
    <row r="223" spans="5:42" x14ac:dyDescent="0.2">
      <c r="E223" s="169"/>
      <c r="F223" s="169"/>
      <c r="G223" s="169"/>
      <c r="H223" s="169"/>
      <c r="I223" s="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row>
    <row r="224" spans="5:42" x14ac:dyDescent="0.2">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row>
    <row r="225" spans="5:42" x14ac:dyDescent="0.2">
      <c r="E225" s="169"/>
      <c r="F225" s="169"/>
      <c r="G225" s="169"/>
      <c r="H225" s="169"/>
      <c r="I225" s="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row>
    <row r="226" spans="5:42" x14ac:dyDescent="0.2">
      <c r="E226" s="169"/>
      <c r="F226" s="169"/>
      <c r="G226" s="169"/>
      <c r="H226" s="169"/>
      <c r="I226" s="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row>
    <row r="227" spans="5:42" x14ac:dyDescent="0.2">
      <c r="E227" s="169"/>
      <c r="F227" s="169"/>
      <c r="G227" s="169"/>
      <c r="H227" s="169"/>
      <c r="I227" s="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row>
    <row r="228" spans="5:42" x14ac:dyDescent="0.2">
      <c r="E228" s="169"/>
      <c r="F228" s="169"/>
      <c r="G228" s="169"/>
      <c r="H228" s="169"/>
      <c r="I228" s="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row>
    <row r="229" spans="5:42" x14ac:dyDescent="0.2">
      <c r="E229" s="169"/>
      <c r="F229" s="169"/>
      <c r="G229" s="169"/>
      <c r="H229" s="169"/>
      <c r="I229" s="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row>
    <row r="230" spans="5:42" x14ac:dyDescent="0.2">
      <c r="E230" s="169"/>
      <c r="F230" s="169"/>
      <c r="G230" s="169"/>
      <c r="H230" s="169"/>
      <c r="I230" s="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row>
    <row r="231" spans="5:42" x14ac:dyDescent="0.2">
      <c r="E231" s="169"/>
      <c r="F231" s="169"/>
      <c r="G231" s="169"/>
      <c r="H231" s="169"/>
      <c r="I231" s="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row>
    <row r="232" spans="5:42" x14ac:dyDescent="0.2">
      <c r="E232" s="169"/>
      <c r="F232" s="169"/>
      <c r="G232" s="169"/>
      <c r="H232" s="169"/>
      <c r="I232" s="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row>
    <row r="233" spans="5:42" x14ac:dyDescent="0.2">
      <c r="E233" s="169"/>
      <c r="F233" s="169"/>
      <c r="G233" s="169"/>
      <c r="H233" s="169"/>
      <c r="I233" s="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row>
    <row r="234" spans="5:42" x14ac:dyDescent="0.2">
      <c r="E234" s="169"/>
      <c r="F234" s="169"/>
      <c r="G234" s="169"/>
      <c r="H234" s="169"/>
      <c r="I234" s="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row>
    <row r="235" spans="5:42" x14ac:dyDescent="0.2">
      <c r="E235" s="169"/>
      <c r="F235" s="169"/>
      <c r="G235" s="169"/>
      <c r="H235" s="169"/>
      <c r="I235" s="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row>
    <row r="236" spans="5:42" x14ac:dyDescent="0.2">
      <c r="E236" s="169"/>
      <c r="F236" s="169"/>
      <c r="G236" s="169"/>
      <c r="H236" s="169"/>
      <c r="I236" s="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row>
    <row r="237" spans="5:42" x14ac:dyDescent="0.2">
      <c r="E237" s="169"/>
      <c r="F237" s="169"/>
      <c r="G237" s="169"/>
      <c r="H237" s="169"/>
      <c r="I237" s="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row>
    <row r="238" spans="5:42" x14ac:dyDescent="0.2">
      <c r="E238" s="169"/>
      <c r="F238" s="169"/>
      <c r="G238" s="169"/>
      <c r="H238" s="169"/>
      <c r="I238" s="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row>
    <row r="239" spans="5:42" x14ac:dyDescent="0.2">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row>
    <row r="240" spans="5:42" x14ac:dyDescent="0.2">
      <c r="E240" s="169"/>
      <c r="F240" s="169"/>
      <c r="G240" s="169"/>
      <c r="H240" s="169"/>
      <c r="I240" s="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row>
    <row r="241" spans="5:42" x14ac:dyDescent="0.2">
      <c r="E241" s="169"/>
      <c r="F241" s="169"/>
      <c r="G241" s="169"/>
      <c r="H241" s="169"/>
      <c r="I241" s="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row>
    <row r="242" spans="5:42" x14ac:dyDescent="0.2">
      <c r="E242" s="169"/>
      <c r="F242" s="169"/>
      <c r="G242" s="169"/>
      <c r="H242" s="169"/>
      <c r="I242" s="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row>
    <row r="243" spans="5:42" x14ac:dyDescent="0.2">
      <c r="E243" s="169"/>
      <c r="F243" s="169"/>
      <c r="G243" s="169"/>
      <c r="H243" s="169"/>
      <c r="I243" s="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row>
    <row r="244" spans="5:42" x14ac:dyDescent="0.2">
      <c r="E244" s="169"/>
      <c r="F244" s="169"/>
      <c r="G244" s="169"/>
      <c r="H244" s="169"/>
      <c r="I244" s="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row>
    <row r="245" spans="5:42" x14ac:dyDescent="0.2">
      <c r="E245" s="169"/>
      <c r="F245" s="169"/>
      <c r="G245" s="169"/>
      <c r="H245" s="169"/>
      <c r="I245" s="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row>
    <row r="246" spans="5:42" x14ac:dyDescent="0.2">
      <c r="E246" s="169"/>
      <c r="F246" s="169"/>
      <c r="G246" s="169"/>
      <c r="H246" s="169"/>
      <c r="I246" s="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row>
    <row r="247" spans="5:42" x14ac:dyDescent="0.2">
      <c r="E247" s="169"/>
      <c r="F247" s="169"/>
      <c r="G247" s="169"/>
      <c r="H247" s="169"/>
      <c r="I247" s="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row>
    <row r="248" spans="5:42" x14ac:dyDescent="0.2">
      <c r="E248" s="169"/>
      <c r="F248" s="169"/>
      <c r="G248" s="169"/>
      <c r="H248" s="169"/>
      <c r="I248" s="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row>
    <row r="249" spans="5:42" x14ac:dyDescent="0.2">
      <c r="E249" s="169"/>
      <c r="F249" s="169"/>
      <c r="G249" s="169"/>
      <c r="H249" s="169"/>
      <c r="I249" s="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row>
    <row r="250" spans="5:42" x14ac:dyDescent="0.2">
      <c r="E250" s="169"/>
      <c r="F250" s="169"/>
      <c r="G250" s="169"/>
      <c r="H250" s="169"/>
      <c r="I250" s="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row>
    <row r="251" spans="5:42" x14ac:dyDescent="0.2">
      <c r="E251" s="169"/>
      <c r="F251" s="169"/>
      <c r="G251" s="169"/>
      <c r="H251" s="169"/>
      <c r="I251" s="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row>
    <row r="252" spans="5:42" x14ac:dyDescent="0.2">
      <c r="E252" s="169"/>
      <c r="F252" s="169"/>
      <c r="G252" s="169"/>
      <c r="H252" s="169"/>
      <c r="I252" s="16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row>
    <row r="253" spans="5:42" x14ac:dyDescent="0.2">
      <c r="E253" s="169"/>
      <c r="F253" s="169"/>
      <c r="G253" s="169"/>
      <c r="H253" s="169"/>
      <c r="I253" s="169"/>
      <c r="J253" s="169"/>
      <c r="K253" s="169"/>
      <c r="L253" s="169"/>
      <c r="M253" s="169"/>
      <c r="N253" s="169"/>
      <c r="O253" s="169"/>
      <c r="P253" s="169"/>
      <c r="Q253" s="169"/>
      <c r="R253" s="169"/>
      <c r="S253" s="169"/>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row>
    <row r="254" spans="5:42" x14ac:dyDescent="0.2">
      <c r="E254" s="169"/>
      <c r="F254" s="169"/>
      <c r="G254" s="169"/>
      <c r="H254" s="169"/>
      <c r="I254" s="169"/>
      <c r="J254" s="169"/>
      <c r="K254" s="169"/>
      <c r="L254" s="169"/>
      <c r="M254" s="169"/>
      <c r="N254" s="169"/>
      <c r="O254" s="169"/>
      <c r="P254" s="169"/>
      <c r="Q254" s="169"/>
      <c r="R254" s="169"/>
      <c r="S254" s="169"/>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row>
    <row r="255" spans="5:42" x14ac:dyDescent="0.2">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row>
    <row r="256" spans="5:42" x14ac:dyDescent="0.2">
      <c r="E256" s="169"/>
      <c r="F256" s="169"/>
      <c r="G256" s="169"/>
      <c r="H256" s="169"/>
      <c r="I256" s="169"/>
      <c r="J256" s="169"/>
      <c r="K256" s="169"/>
      <c r="L256" s="169"/>
      <c r="M256" s="169"/>
      <c r="N256" s="169"/>
      <c r="O256" s="169"/>
      <c r="P256" s="169"/>
      <c r="Q256" s="169"/>
      <c r="R256" s="169"/>
      <c r="S256" s="169"/>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row>
    <row r="257" spans="5:42" x14ac:dyDescent="0.2">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row>
    <row r="258" spans="5:42" x14ac:dyDescent="0.2">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c r="AA258" s="169"/>
      <c r="AB258" s="169"/>
      <c r="AC258" s="169"/>
      <c r="AD258" s="169"/>
      <c r="AE258" s="169"/>
      <c r="AF258" s="169"/>
      <c r="AG258" s="169"/>
      <c r="AH258" s="169"/>
      <c r="AI258" s="169"/>
      <c r="AJ258" s="169"/>
      <c r="AK258" s="169"/>
      <c r="AL258" s="169"/>
      <c r="AM258" s="169"/>
      <c r="AN258" s="169"/>
      <c r="AO258" s="169"/>
      <c r="AP258" s="169"/>
    </row>
    <row r="259" spans="5:42" x14ac:dyDescent="0.2">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c r="AA259" s="169"/>
      <c r="AB259" s="169"/>
      <c r="AC259" s="169"/>
      <c r="AD259" s="169"/>
      <c r="AE259" s="169"/>
      <c r="AF259" s="169"/>
      <c r="AG259" s="169"/>
      <c r="AH259" s="169"/>
      <c r="AI259" s="169"/>
      <c r="AJ259" s="169"/>
      <c r="AK259" s="169"/>
      <c r="AL259" s="169"/>
      <c r="AM259" s="169"/>
      <c r="AN259" s="169"/>
      <c r="AO259" s="169"/>
      <c r="AP259" s="169"/>
    </row>
    <row r="260" spans="5:42" x14ac:dyDescent="0.2">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c r="AA260" s="169"/>
      <c r="AB260" s="169"/>
      <c r="AC260" s="169"/>
      <c r="AD260" s="169"/>
      <c r="AE260" s="169"/>
      <c r="AF260" s="169"/>
      <c r="AG260" s="169"/>
      <c r="AH260" s="169"/>
      <c r="AI260" s="169"/>
      <c r="AJ260" s="169"/>
      <c r="AK260" s="169"/>
      <c r="AL260" s="169"/>
      <c r="AM260" s="169"/>
      <c r="AN260" s="169"/>
      <c r="AO260" s="169"/>
      <c r="AP260" s="169"/>
    </row>
    <row r="261" spans="5:42" x14ac:dyDescent="0.2">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c r="AA261" s="169"/>
      <c r="AB261" s="169"/>
      <c r="AC261" s="169"/>
      <c r="AD261" s="169"/>
      <c r="AE261" s="169"/>
      <c r="AF261" s="169"/>
      <c r="AG261" s="169"/>
      <c r="AH261" s="169"/>
      <c r="AI261" s="169"/>
      <c r="AJ261" s="169"/>
      <c r="AK261" s="169"/>
      <c r="AL261" s="169"/>
      <c r="AM261" s="169"/>
      <c r="AN261" s="169"/>
      <c r="AO261" s="169"/>
      <c r="AP261" s="169"/>
    </row>
    <row r="262" spans="5:42" x14ac:dyDescent="0.2">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row>
    <row r="263" spans="5:42" x14ac:dyDescent="0.2">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c r="AA263" s="169"/>
      <c r="AB263" s="169"/>
      <c r="AC263" s="169"/>
      <c r="AD263" s="169"/>
      <c r="AE263" s="169"/>
      <c r="AF263" s="169"/>
      <c r="AG263" s="169"/>
      <c r="AH263" s="169"/>
      <c r="AI263" s="169"/>
      <c r="AJ263" s="169"/>
      <c r="AK263" s="169"/>
      <c r="AL263" s="169"/>
      <c r="AM263" s="169"/>
      <c r="AN263" s="169"/>
      <c r="AO263" s="169"/>
      <c r="AP263" s="169"/>
    </row>
    <row r="264" spans="5:42" x14ac:dyDescent="0.2">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c r="AA264" s="169"/>
      <c r="AB264" s="169"/>
      <c r="AC264" s="169"/>
      <c r="AD264" s="169"/>
      <c r="AE264" s="169"/>
      <c r="AF264" s="169"/>
      <c r="AG264" s="169"/>
      <c r="AH264" s="169"/>
      <c r="AI264" s="169"/>
      <c r="AJ264" s="169"/>
      <c r="AK264" s="169"/>
      <c r="AL264" s="169"/>
      <c r="AM264" s="169"/>
      <c r="AN264" s="169"/>
      <c r="AO264" s="169"/>
      <c r="AP264" s="169"/>
    </row>
    <row r="265" spans="5:42" x14ac:dyDescent="0.2">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c r="AA265" s="169"/>
      <c r="AB265" s="169"/>
      <c r="AC265" s="169"/>
      <c r="AD265" s="169"/>
      <c r="AE265" s="169"/>
      <c r="AF265" s="169"/>
      <c r="AG265" s="169"/>
      <c r="AH265" s="169"/>
      <c r="AI265" s="169"/>
      <c r="AJ265" s="169"/>
      <c r="AK265" s="169"/>
      <c r="AL265" s="169"/>
      <c r="AM265" s="169"/>
      <c r="AN265" s="169"/>
      <c r="AO265" s="169"/>
      <c r="AP265" s="169"/>
    </row>
    <row r="266" spans="5:42" x14ac:dyDescent="0.2">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row>
    <row r="267" spans="5:42" x14ac:dyDescent="0.2">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c r="AA267" s="169"/>
      <c r="AB267" s="169"/>
      <c r="AC267" s="169"/>
      <c r="AD267" s="169"/>
      <c r="AE267" s="169"/>
      <c r="AF267" s="169"/>
      <c r="AG267" s="169"/>
      <c r="AH267" s="169"/>
      <c r="AI267" s="169"/>
      <c r="AJ267" s="169"/>
      <c r="AK267" s="169"/>
      <c r="AL267" s="169"/>
      <c r="AM267" s="169"/>
      <c r="AN267" s="169"/>
      <c r="AO267" s="169"/>
      <c r="AP267" s="169"/>
    </row>
    <row r="268" spans="5:42" x14ac:dyDescent="0.2">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c r="AC268" s="169"/>
      <c r="AD268" s="169"/>
      <c r="AE268" s="169"/>
      <c r="AF268" s="169"/>
      <c r="AG268" s="169"/>
      <c r="AH268" s="169"/>
      <c r="AI268" s="169"/>
      <c r="AJ268" s="169"/>
      <c r="AK268" s="169"/>
      <c r="AL268" s="169"/>
      <c r="AM268" s="169"/>
      <c r="AN268" s="169"/>
      <c r="AO268" s="169"/>
      <c r="AP268" s="169"/>
    </row>
    <row r="269" spans="5:42" x14ac:dyDescent="0.2">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row>
    <row r="270" spans="5:42" x14ac:dyDescent="0.2">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c r="AA270" s="169"/>
      <c r="AB270" s="169"/>
      <c r="AC270" s="169"/>
      <c r="AD270" s="169"/>
      <c r="AE270" s="169"/>
      <c r="AF270" s="169"/>
      <c r="AG270" s="169"/>
      <c r="AH270" s="169"/>
      <c r="AI270" s="169"/>
      <c r="AJ270" s="169"/>
      <c r="AK270" s="169"/>
      <c r="AL270" s="169"/>
      <c r="AM270" s="169"/>
      <c r="AN270" s="169"/>
      <c r="AO270" s="169"/>
      <c r="AP270" s="169"/>
    </row>
    <row r="271" spans="5:42" x14ac:dyDescent="0.2">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c r="AA271" s="169"/>
      <c r="AB271" s="169"/>
      <c r="AC271" s="169"/>
      <c r="AD271" s="169"/>
      <c r="AE271" s="169"/>
      <c r="AF271" s="169"/>
      <c r="AG271" s="169"/>
      <c r="AH271" s="169"/>
      <c r="AI271" s="169"/>
      <c r="AJ271" s="169"/>
      <c r="AK271" s="169"/>
      <c r="AL271" s="169"/>
      <c r="AM271" s="169"/>
      <c r="AN271" s="169"/>
      <c r="AO271" s="169"/>
      <c r="AP271" s="169"/>
    </row>
    <row r="272" spans="5:42" x14ac:dyDescent="0.2">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row>
    <row r="273" spans="5:42" x14ac:dyDescent="0.2">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c r="AA273" s="169"/>
      <c r="AB273" s="169"/>
      <c r="AC273" s="169"/>
      <c r="AD273" s="169"/>
      <c r="AE273" s="169"/>
      <c r="AF273" s="169"/>
      <c r="AG273" s="169"/>
      <c r="AH273" s="169"/>
      <c r="AI273" s="169"/>
      <c r="AJ273" s="169"/>
      <c r="AK273" s="169"/>
      <c r="AL273" s="169"/>
      <c r="AM273" s="169"/>
      <c r="AN273" s="169"/>
      <c r="AO273" s="169"/>
      <c r="AP273" s="169"/>
    </row>
    <row r="274" spans="5:42" x14ac:dyDescent="0.2">
      <c r="E274" s="169"/>
      <c r="F274" s="169"/>
      <c r="G274" s="169"/>
      <c r="H274" s="169"/>
      <c r="I274" s="169"/>
      <c r="J274" s="169"/>
      <c r="K274" s="169"/>
      <c r="L274" s="169"/>
      <c r="M274" s="169"/>
      <c r="N274" s="169"/>
      <c r="O274" s="169"/>
      <c r="P274" s="169"/>
      <c r="Q274" s="169"/>
      <c r="R274" s="169"/>
      <c r="S274" s="169"/>
      <c r="T274" s="169"/>
      <c r="U274" s="169"/>
      <c r="V274" s="169"/>
      <c r="W274" s="169"/>
      <c r="X274" s="169"/>
      <c r="Y274" s="169"/>
      <c r="Z274" s="169"/>
      <c r="AA274" s="169"/>
      <c r="AB274" s="169"/>
      <c r="AC274" s="169"/>
      <c r="AD274" s="169"/>
      <c r="AE274" s="169"/>
      <c r="AF274" s="169"/>
      <c r="AG274" s="169"/>
      <c r="AH274" s="169"/>
      <c r="AI274" s="169"/>
      <c r="AJ274" s="169"/>
      <c r="AK274" s="169"/>
      <c r="AL274" s="169"/>
      <c r="AM274" s="169"/>
      <c r="AN274" s="169"/>
      <c r="AO274" s="169"/>
      <c r="AP274" s="169"/>
    </row>
    <row r="275" spans="5:42" x14ac:dyDescent="0.2">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row>
    <row r="276" spans="5:42" x14ac:dyDescent="0.2">
      <c r="E276" s="169"/>
      <c r="F276" s="169"/>
      <c r="G276" s="169"/>
      <c r="H276" s="169"/>
      <c r="I276" s="169"/>
      <c r="J276" s="169"/>
      <c r="K276" s="169"/>
      <c r="L276" s="169"/>
      <c r="M276" s="169"/>
      <c r="N276" s="169"/>
      <c r="O276" s="169"/>
      <c r="P276" s="169"/>
      <c r="Q276" s="169"/>
      <c r="R276" s="169"/>
      <c r="S276" s="169"/>
      <c r="T276" s="169"/>
      <c r="U276" s="169"/>
      <c r="V276" s="169"/>
      <c r="W276" s="169"/>
      <c r="X276" s="169"/>
      <c r="Y276" s="169"/>
      <c r="Z276" s="169"/>
      <c r="AA276" s="169"/>
      <c r="AB276" s="169"/>
      <c r="AC276" s="169"/>
      <c r="AD276" s="169"/>
      <c r="AE276" s="169"/>
      <c r="AF276" s="169"/>
      <c r="AG276" s="169"/>
      <c r="AH276" s="169"/>
      <c r="AI276" s="169"/>
      <c r="AJ276" s="169"/>
      <c r="AK276" s="169"/>
      <c r="AL276" s="169"/>
      <c r="AM276" s="169"/>
      <c r="AN276" s="169"/>
      <c r="AO276" s="169"/>
      <c r="AP276" s="169"/>
    </row>
    <row r="277" spans="5:42" x14ac:dyDescent="0.2">
      <c r="E277" s="169"/>
      <c r="F277" s="169"/>
      <c r="G277" s="169"/>
      <c r="H277" s="169"/>
      <c r="I277" s="169"/>
      <c r="J277" s="169"/>
      <c r="K277" s="169"/>
      <c r="L277" s="169"/>
      <c r="M277" s="169"/>
      <c r="N277" s="169"/>
      <c r="O277" s="169"/>
      <c r="P277" s="169"/>
      <c r="Q277" s="169"/>
      <c r="R277" s="169"/>
      <c r="S277" s="169"/>
      <c r="T277" s="169"/>
      <c r="U277" s="169"/>
      <c r="V277" s="169"/>
      <c r="W277" s="169"/>
      <c r="X277" s="169"/>
      <c r="Y277" s="169"/>
      <c r="Z277" s="169"/>
      <c r="AA277" s="169"/>
      <c r="AB277" s="169"/>
      <c r="AC277" s="169"/>
      <c r="AD277" s="169"/>
      <c r="AE277" s="169"/>
      <c r="AF277" s="169"/>
      <c r="AG277" s="169"/>
      <c r="AH277" s="169"/>
      <c r="AI277" s="169"/>
      <c r="AJ277" s="169"/>
      <c r="AK277" s="169"/>
      <c r="AL277" s="169"/>
      <c r="AM277" s="169"/>
      <c r="AN277" s="169"/>
      <c r="AO277" s="169"/>
      <c r="AP277" s="169"/>
    </row>
    <row r="278" spans="5:42" x14ac:dyDescent="0.2">
      <c r="E278" s="169"/>
      <c r="F278" s="169"/>
      <c r="G278" s="169"/>
      <c r="H278" s="169"/>
      <c r="I278" s="169"/>
      <c r="J278" s="169"/>
      <c r="K278" s="169"/>
      <c r="L278" s="169"/>
      <c r="M278" s="169"/>
      <c r="N278" s="169"/>
      <c r="O278" s="169"/>
      <c r="P278" s="169"/>
      <c r="Q278" s="169"/>
      <c r="R278" s="169"/>
      <c r="S278" s="169"/>
      <c r="T278" s="169"/>
      <c r="U278" s="169"/>
      <c r="V278" s="169"/>
      <c r="W278" s="169"/>
      <c r="X278" s="169"/>
      <c r="Y278" s="169"/>
      <c r="Z278" s="169"/>
      <c r="AA278" s="169"/>
      <c r="AB278" s="169"/>
      <c r="AC278" s="169"/>
      <c r="AD278" s="169"/>
      <c r="AE278" s="169"/>
      <c r="AF278" s="169"/>
      <c r="AG278" s="169"/>
      <c r="AH278" s="169"/>
      <c r="AI278" s="169"/>
      <c r="AJ278" s="169"/>
      <c r="AK278" s="169"/>
      <c r="AL278" s="169"/>
      <c r="AM278" s="169"/>
      <c r="AN278" s="169"/>
      <c r="AO278" s="169"/>
      <c r="AP278" s="169"/>
    </row>
    <row r="279" spans="5:42" x14ac:dyDescent="0.2">
      <c r="E279" s="169"/>
      <c r="F279" s="169"/>
      <c r="G279" s="169"/>
      <c r="H279" s="169"/>
      <c r="I279" s="169"/>
      <c r="J279" s="169"/>
      <c r="K279" s="169"/>
      <c r="L279" s="169"/>
      <c r="M279" s="169"/>
      <c r="N279" s="169"/>
      <c r="O279" s="169"/>
      <c r="P279" s="169"/>
      <c r="Q279" s="169"/>
      <c r="R279" s="169"/>
      <c r="S279" s="169"/>
      <c r="T279" s="169"/>
      <c r="U279" s="169"/>
      <c r="V279" s="169"/>
      <c r="W279" s="169"/>
      <c r="X279" s="169"/>
      <c r="Y279" s="169"/>
      <c r="Z279" s="169"/>
      <c r="AA279" s="169"/>
      <c r="AB279" s="169"/>
      <c r="AC279" s="169"/>
      <c r="AD279" s="169"/>
      <c r="AE279" s="169"/>
      <c r="AF279" s="169"/>
      <c r="AG279" s="169"/>
      <c r="AH279" s="169"/>
      <c r="AI279" s="169"/>
      <c r="AJ279" s="169"/>
      <c r="AK279" s="169"/>
      <c r="AL279" s="169"/>
      <c r="AM279" s="169"/>
      <c r="AN279" s="169"/>
      <c r="AO279" s="169"/>
      <c r="AP279" s="169"/>
    </row>
    <row r="280" spans="5:42" x14ac:dyDescent="0.2">
      <c r="E280" s="169"/>
      <c r="F280" s="169"/>
      <c r="G280" s="169"/>
      <c r="H280" s="169"/>
      <c r="I280" s="169"/>
      <c r="J280" s="169"/>
      <c r="K280" s="169"/>
      <c r="L280" s="169"/>
      <c r="M280" s="169"/>
      <c r="N280" s="169"/>
      <c r="O280" s="169"/>
      <c r="P280" s="169"/>
      <c r="Q280" s="169"/>
      <c r="R280" s="169"/>
      <c r="S280" s="169"/>
      <c r="T280" s="169"/>
      <c r="U280" s="169"/>
      <c r="V280" s="169"/>
      <c r="W280" s="169"/>
      <c r="X280" s="169"/>
      <c r="Y280" s="169"/>
      <c r="Z280" s="169"/>
      <c r="AA280" s="169"/>
      <c r="AB280" s="169"/>
      <c r="AC280" s="169"/>
      <c r="AD280" s="169"/>
      <c r="AE280" s="169"/>
      <c r="AF280" s="169"/>
      <c r="AG280" s="169"/>
      <c r="AH280" s="169"/>
      <c r="AI280" s="169"/>
      <c r="AJ280" s="169"/>
      <c r="AK280" s="169"/>
      <c r="AL280" s="169"/>
      <c r="AM280" s="169"/>
      <c r="AN280" s="169"/>
      <c r="AO280" s="169"/>
      <c r="AP280" s="169"/>
    </row>
    <row r="281" spans="5:42" x14ac:dyDescent="0.2">
      <c r="E281" s="169"/>
      <c r="F281" s="169"/>
      <c r="G281" s="169"/>
      <c r="H281" s="169"/>
      <c r="I281" s="169"/>
      <c r="J281" s="169"/>
      <c r="K281" s="169"/>
      <c r="L281" s="169"/>
      <c r="M281" s="169"/>
      <c r="N281" s="169"/>
      <c r="O281" s="169"/>
      <c r="P281" s="169"/>
      <c r="Q281" s="169"/>
      <c r="R281" s="169"/>
      <c r="S281" s="169"/>
      <c r="T281" s="169"/>
      <c r="U281" s="169"/>
      <c r="V281" s="169"/>
      <c r="W281" s="169"/>
      <c r="X281" s="169"/>
      <c r="Y281" s="169"/>
      <c r="Z281" s="169"/>
      <c r="AA281" s="169"/>
      <c r="AB281" s="169"/>
      <c r="AC281" s="169"/>
      <c r="AD281" s="169"/>
      <c r="AE281" s="169"/>
      <c r="AF281" s="169"/>
      <c r="AG281" s="169"/>
      <c r="AH281" s="169"/>
      <c r="AI281" s="169"/>
      <c r="AJ281" s="169"/>
      <c r="AK281" s="169"/>
      <c r="AL281" s="169"/>
      <c r="AM281" s="169"/>
      <c r="AN281" s="169"/>
      <c r="AO281" s="169"/>
      <c r="AP281" s="169"/>
    </row>
    <row r="282" spans="5:42" x14ac:dyDescent="0.2">
      <c r="E282" s="169"/>
      <c r="F282" s="169"/>
      <c r="G282" s="169"/>
      <c r="H282" s="169"/>
      <c r="I282" s="169"/>
      <c r="J282" s="169"/>
      <c r="K282" s="169"/>
      <c r="L282" s="169"/>
      <c r="M282" s="169"/>
      <c r="N282" s="169"/>
      <c r="O282" s="169"/>
      <c r="P282" s="169"/>
      <c r="Q282" s="169"/>
      <c r="R282" s="169"/>
      <c r="S282" s="169"/>
      <c r="T282" s="169"/>
      <c r="U282" s="169"/>
      <c r="V282" s="169"/>
      <c r="W282" s="169"/>
      <c r="X282" s="169"/>
      <c r="Y282" s="169"/>
      <c r="Z282" s="169"/>
      <c r="AA282" s="169"/>
      <c r="AB282" s="169"/>
      <c r="AC282" s="169"/>
      <c r="AD282" s="169"/>
      <c r="AE282" s="169"/>
      <c r="AF282" s="169"/>
      <c r="AG282" s="169"/>
      <c r="AH282" s="169"/>
      <c r="AI282" s="169"/>
      <c r="AJ282" s="169"/>
      <c r="AK282" s="169"/>
      <c r="AL282" s="169"/>
      <c r="AM282" s="169"/>
      <c r="AN282" s="169"/>
      <c r="AO282" s="169"/>
      <c r="AP282" s="169"/>
    </row>
    <row r="283" spans="5:42" x14ac:dyDescent="0.2">
      <c r="E283" s="169"/>
      <c r="F283" s="169"/>
      <c r="G283" s="169"/>
      <c r="H283" s="169"/>
      <c r="I283" s="169"/>
      <c r="J283" s="169"/>
      <c r="K283" s="169"/>
      <c r="L283" s="169"/>
      <c r="M283" s="169"/>
      <c r="N283" s="169"/>
      <c r="O283" s="169"/>
      <c r="P283" s="169"/>
      <c r="Q283" s="169"/>
      <c r="R283" s="169"/>
      <c r="S283" s="169"/>
      <c r="T283" s="169"/>
      <c r="U283" s="169"/>
      <c r="V283" s="169"/>
      <c r="W283" s="169"/>
      <c r="X283" s="169"/>
      <c r="Y283" s="169"/>
      <c r="Z283" s="169"/>
      <c r="AA283" s="169"/>
      <c r="AB283" s="169"/>
      <c r="AC283" s="169"/>
      <c r="AD283" s="169"/>
      <c r="AE283" s="169"/>
      <c r="AF283" s="169"/>
      <c r="AG283" s="169"/>
      <c r="AH283" s="169"/>
      <c r="AI283" s="169"/>
      <c r="AJ283" s="169"/>
      <c r="AK283" s="169"/>
      <c r="AL283" s="169"/>
      <c r="AM283" s="169"/>
      <c r="AN283" s="169"/>
      <c r="AO283" s="169"/>
      <c r="AP283" s="169"/>
    </row>
    <row r="284" spans="5:42" x14ac:dyDescent="0.2">
      <c r="E284" s="169"/>
      <c r="F284" s="169"/>
      <c r="G284" s="169"/>
      <c r="H284" s="169"/>
      <c r="I284" s="169"/>
      <c r="J284" s="169"/>
      <c r="K284" s="169"/>
      <c r="L284" s="169"/>
      <c r="M284" s="169"/>
      <c r="N284" s="169"/>
      <c r="O284" s="169"/>
      <c r="P284" s="169"/>
      <c r="Q284" s="169"/>
      <c r="R284" s="169"/>
      <c r="S284" s="169"/>
      <c r="T284" s="169"/>
      <c r="U284" s="169"/>
      <c r="V284" s="169"/>
      <c r="W284" s="169"/>
      <c r="X284" s="169"/>
      <c r="Y284" s="169"/>
      <c r="Z284" s="169"/>
      <c r="AA284" s="169"/>
      <c r="AB284" s="169"/>
      <c r="AC284" s="169"/>
      <c r="AD284" s="169"/>
      <c r="AE284" s="169"/>
      <c r="AF284" s="169"/>
      <c r="AG284" s="169"/>
      <c r="AH284" s="169"/>
      <c r="AI284" s="169"/>
      <c r="AJ284" s="169"/>
      <c r="AK284" s="169"/>
      <c r="AL284" s="169"/>
      <c r="AM284" s="169"/>
      <c r="AN284" s="169"/>
      <c r="AO284" s="169"/>
      <c r="AP284" s="169"/>
    </row>
    <row r="285" spans="5:42" x14ac:dyDescent="0.2">
      <c r="E285" s="169"/>
      <c r="F285" s="169"/>
      <c r="G285" s="169"/>
      <c r="H285" s="169"/>
      <c r="I285" s="169"/>
      <c r="J285" s="169"/>
      <c r="K285" s="169"/>
      <c r="L285" s="169"/>
      <c r="M285" s="169"/>
      <c r="N285" s="169"/>
      <c r="O285" s="169"/>
      <c r="P285" s="169"/>
      <c r="Q285" s="169"/>
      <c r="R285" s="169"/>
      <c r="S285" s="169"/>
      <c r="T285" s="169"/>
      <c r="U285" s="169"/>
      <c r="V285" s="169"/>
      <c r="W285" s="169"/>
      <c r="X285" s="169"/>
      <c r="Y285" s="169"/>
      <c r="Z285" s="169"/>
      <c r="AA285" s="169"/>
      <c r="AB285" s="169"/>
      <c r="AC285" s="169"/>
      <c r="AD285" s="169"/>
      <c r="AE285" s="169"/>
      <c r="AF285" s="169"/>
      <c r="AG285" s="169"/>
      <c r="AH285" s="169"/>
      <c r="AI285" s="169"/>
      <c r="AJ285" s="169"/>
      <c r="AK285" s="169"/>
      <c r="AL285" s="169"/>
      <c r="AM285" s="169"/>
      <c r="AN285" s="169"/>
      <c r="AO285" s="169"/>
      <c r="AP285" s="169"/>
    </row>
    <row r="286" spans="5:42" x14ac:dyDescent="0.2">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c r="AA286" s="169"/>
      <c r="AB286" s="169"/>
      <c r="AC286" s="169"/>
      <c r="AD286" s="169"/>
      <c r="AE286" s="169"/>
      <c r="AF286" s="169"/>
      <c r="AG286" s="169"/>
      <c r="AH286" s="169"/>
      <c r="AI286" s="169"/>
      <c r="AJ286" s="169"/>
      <c r="AK286" s="169"/>
      <c r="AL286" s="169"/>
      <c r="AM286" s="169"/>
      <c r="AN286" s="169"/>
      <c r="AO286" s="169"/>
      <c r="AP286" s="169"/>
    </row>
    <row r="287" spans="5:42" x14ac:dyDescent="0.2">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c r="AA287" s="169"/>
      <c r="AB287" s="169"/>
      <c r="AC287" s="169"/>
      <c r="AD287" s="169"/>
      <c r="AE287" s="169"/>
      <c r="AF287" s="169"/>
      <c r="AG287" s="169"/>
      <c r="AH287" s="169"/>
      <c r="AI287" s="169"/>
      <c r="AJ287" s="169"/>
      <c r="AK287" s="169"/>
      <c r="AL287" s="169"/>
      <c r="AM287" s="169"/>
      <c r="AN287" s="169"/>
      <c r="AO287" s="169"/>
      <c r="AP287" s="169"/>
    </row>
    <row r="288" spans="5:42" x14ac:dyDescent="0.2">
      <c r="E288" s="169"/>
      <c r="F288" s="169"/>
      <c r="G288" s="169"/>
      <c r="H288" s="169"/>
      <c r="I288" s="169"/>
      <c r="J288" s="169"/>
      <c r="K288" s="169"/>
      <c r="L288" s="169"/>
      <c r="M288" s="169"/>
      <c r="N288" s="169"/>
      <c r="O288" s="169"/>
      <c r="P288" s="169"/>
      <c r="Q288" s="169"/>
      <c r="R288" s="169"/>
      <c r="S288" s="169"/>
      <c r="T288" s="169"/>
      <c r="U288" s="169"/>
      <c r="V288" s="169"/>
      <c r="W288" s="169"/>
      <c r="X288" s="169"/>
      <c r="Y288" s="169"/>
      <c r="Z288" s="169"/>
      <c r="AA288" s="169"/>
      <c r="AB288" s="169"/>
      <c r="AC288" s="169"/>
      <c r="AD288" s="169"/>
      <c r="AE288" s="169"/>
      <c r="AF288" s="169"/>
      <c r="AG288" s="169"/>
      <c r="AH288" s="169"/>
      <c r="AI288" s="169"/>
      <c r="AJ288" s="169"/>
      <c r="AK288" s="169"/>
      <c r="AL288" s="169"/>
      <c r="AM288" s="169"/>
      <c r="AN288" s="169"/>
      <c r="AO288" s="169"/>
      <c r="AP288" s="169"/>
    </row>
    <row r="289" spans="5:42" x14ac:dyDescent="0.2">
      <c r="E289" s="169"/>
      <c r="F289" s="169"/>
      <c r="G289" s="169"/>
      <c r="H289" s="169"/>
      <c r="I289" s="169"/>
      <c r="J289" s="169"/>
      <c r="K289" s="169"/>
      <c r="L289" s="169"/>
      <c r="M289" s="169"/>
      <c r="N289" s="169"/>
      <c r="O289" s="169"/>
      <c r="P289" s="169"/>
      <c r="Q289" s="169"/>
      <c r="R289" s="169"/>
      <c r="S289" s="169"/>
      <c r="T289" s="169"/>
      <c r="U289" s="169"/>
      <c r="V289" s="169"/>
      <c r="W289" s="169"/>
      <c r="X289" s="169"/>
      <c r="Y289" s="169"/>
      <c r="Z289" s="169"/>
      <c r="AA289" s="169"/>
      <c r="AB289" s="169"/>
      <c r="AC289" s="169"/>
      <c r="AD289" s="169"/>
      <c r="AE289" s="169"/>
      <c r="AF289" s="169"/>
      <c r="AG289" s="169"/>
      <c r="AH289" s="169"/>
      <c r="AI289" s="169"/>
      <c r="AJ289" s="169"/>
      <c r="AK289" s="169"/>
      <c r="AL289" s="169"/>
      <c r="AM289" s="169"/>
      <c r="AN289" s="169"/>
      <c r="AO289" s="169"/>
      <c r="AP289" s="169"/>
    </row>
    <row r="290" spans="5:42" x14ac:dyDescent="0.2">
      <c r="E290" s="169"/>
      <c r="F290" s="169"/>
      <c r="G290" s="169"/>
      <c r="H290" s="169"/>
      <c r="I290" s="169"/>
      <c r="J290" s="169"/>
      <c r="K290" s="169"/>
      <c r="L290" s="169"/>
      <c r="M290" s="169"/>
      <c r="N290" s="169"/>
      <c r="O290" s="169"/>
      <c r="P290" s="169"/>
      <c r="Q290" s="169"/>
      <c r="R290" s="169"/>
      <c r="S290" s="169"/>
      <c r="T290" s="169"/>
      <c r="U290" s="169"/>
      <c r="V290" s="169"/>
      <c r="W290" s="169"/>
      <c r="X290" s="169"/>
      <c r="Y290" s="169"/>
      <c r="Z290" s="169"/>
      <c r="AA290" s="169"/>
      <c r="AB290" s="169"/>
      <c r="AC290" s="169"/>
      <c r="AD290" s="169"/>
      <c r="AE290" s="169"/>
      <c r="AF290" s="169"/>
      <c r="AG290" s="169"/>
      <c r="AH290" s="169"/>
      <c r="AI290" s="169"/>
      <c r="AJ290" s="169"/>
      <c r="AK290" s="169"/>
      <c r="AL290" s="169"/>
      <c r="AM290" s="169"/>
      <c r="AN290" s="169"/>
      <c r="AO290" s="169"/>
      <c r="AP290" s="169"/>
    </row>
    <row r="291" spans="5:42" x14ac:dyDescent="0.2">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169"/>
      <c r="AC291" s="169"/>
      <c r="AD291" s="169"/>
      <c r="AE291" s="169"/>
      <c r="AF291" s="169"/>
      <c r="AG291" s="169"/>
      <c r="AH291" s="169"/>
      <c r="AI291" s="169"/>
      <c r="AJ291" s="169"/>
      <c r="AK291" s="169"/>
      <c r="AL291" s="169"/>
      <c r="AM291" s="169"/>
      <c r="AN291" s="169"/>
      <c r="AO291" s="169"/>
      <c r="AP291" s="169"/>
    </row>
    <row r="292" spans="5:42" x14ac:dyDescent="0.2">
      <c r="E292" s="169"/>
      <c r="F292" s="169"/>
      <c r="G292" s="169"/>
      <c r="H292" s="169"/>
      <c r="I292" s="169"/>
      <c r="J292" s="169"/>
      <c r="K292" s="169"/>
      <c r="L292" s="169"/>
      <c r="M292" s="169"/>
      <c r="N292" s="169"/>
      <c r="O292" s="169"/>
      <c r="P292" s="169"/>
      <c r="Q292" s="169"/>
      <c r="R292" s="169"/>
      <c r="S292" s="169"/>
      <c r="T292" s="169"/>
      <c r="U292" s="169"/>
      <c r="V292" s="169"/>
      <c r="W292" s="169"/>
      <c r="X292" s="169"/>
      <c r="Y292" s="169"/>
      <c r="Z292" s="169"/>
      <c r="AA292" s="169"/>
      <c r="AB292" s="169"/>
      <c r="AC292" s="169"/>
      <c r="AD292" s="169"/>
      <c r="AE292" s="169"/>
      <c r="AF292" s="169"/>
      <c r="AG292" s="169"/>
      <c r="AH292" s="169"/>
      <c r="AI292" s="169"/>
      <c r="AJ292" s="169"/>
      <c r="AK292" s="169"/>
      <c r="AL292" s="169"/>
      <c r="AM292" s="169"/>
      <c r="AN292" s="169"/>
      <c r="AO292" s="169"/>
      <c r="AP292" s="169"/>
    </row>
    <row r="293" spans="5:42" x14ac:dyDescent="0.2">
      <c r="E293" s="169"/>
      <c r="F293" s="169"/>
      <c r="G293" s="169"/>
      <c r="H293" s="169"/>
      <c r="I293" s="169"/>
      <c r="J293" s="169"/>
      <c r="K293" s="169"/>
      <c r="L293" s="169"/>
      <c r="M293" s="169"/>
      <c r="N293" s="169"/>
      <c r="O293" s="169"/>
      <c r="P293" s="169"/>
      <c r="Q293" s="169"/>
      <c r="R293" s="169"/>
      <c r="S293" s="169"/>
      <c r="T293" s="169"/>
      <c r="U293" s="169"/>
      <c r="V293" s="169"/>
      <c r="W293" s="169"/>
      <c r="X293" s="169"/>
      <c r="Y293" s="169"/>
      <c r="Z293" s="169"/>
      <c r="AA293" s="169"/>
      <c r="AB293" s="169"/>
      <c r="AC293" s="169"/>
      <c r="AD293" s="169"/>
      <c r="AE293" s="169"/>
      <c r="AF293" s="169"/>
      <c r="AG293" s="169"/>
      <c r="AH293" s="169"/>
      <c r="AI293" s="169"/>
      <c r="AJ293" s="169"/>
      <c r="AK293" s="169"/>
      <c r="AL293" s="169"/>
      <c r="AM293" s="169"/>
      <c r="AN293" s="169"/>
      <c r="AO293" s="169"/>
      <c r="AP293" s="169"/>
    </row>
    <row r="294" spans="5:42" x14ac:dyDescent="0.2">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169"/>
      <c r="AC294" s="169"/>
      <c r="AD294" s="169"/>
      <c r="AE294" s="169"/>
      <c r="AF294" s="169"/>
      <c r="AG294" s="169"/>
      <c r="AH294" s="169"/>
      <c r="AI294" s="169"/>
      <c r="AJ294" s="169"/>
      <c r="AK294" s="169"/>
      <c r="AL294" s="169"/>
      <c r="AM294" s="169"/>
      <c r="AN294" s="169"/>
      <c r="AO294" s="169"/>
      <c r="AP294" s="169"/>
    </row>
    <row r="295" spans="5:42" x14ac:dyDescent="0.2">
      <c r="E295" s="169"/>
      <c r="F295" s="169"/>
      <c r="G295" s="169"/>
      <c r="H295" s="169"/>
      <c r="I295" s="169"/>
      <c r="J295" s="169"/>
      <c r="K295" s="169"/>
      <c r="L295" s="169"/>
      <c r="M295" s="169"/>
      <c r="N295" s="169"/>
      <c r="O295" s="169"/>
      <c r="P295" s="169"/>
      <c r="Q295" s="169"/>
      <c r="R295" s="169"/>
      <c r="S295" s="169"/>
      <c r="T295" s="169"/>
      <c r="U295" s="169"/>
      <c r="V295" s="169"/>
      <c r="W295" s="169"/>
      <c r="X295" s="169"/>
      <c r="Y295" s="169"/>
      <c r="Z295" s="169"/>
      <c r="AA295" s="169"/>
      <c r="AB295" s="169"/>
      <c r="AC295" s="169"/>
      <c r="AD295" s="169"/>
      <c r="AE295" s="169"/>
      <c r="AF295" s="169"/>
      <c r="AG295" s="169"/>
      <c r="AH295" s="169"/>
      <c r="AI295" s="169"/>
      <c r="AJ295" s="169"/>
      <c r="AK295" s="169"/>
      <c r="AL295" s="169"/>
      <c r="AM295" s="169"/>
      <c r="AN295" s="169"/>
      <c r="AO295" s="169"/>
      <c r="AP295" s="169"/>
    </row>
    <row r="296" spans="5:42" x14ac:dyDescent="0.2">
      <c r="E296" s="169"/>
      <c r="F296" s="169"/>
      <c r="G296" s="169"/>
      <c r="H296" s="169"/>
      <c r="I296" s="169"/>
      <c r="J296" s="169"/>
      <c r="K296" s="169"/>
      <c r="L296" s="169"/>
      <c r="M296" s="169"/>
      <c r="N296" s="169"/>
      <c r="O296" s="169"/>
      <c r="P296" s="169"/>
      <c r="Q296" s="169"/>
      <c r="R296" s="169"/>
      <c r="S296" s="169"/>
      <c r="T296" s="169"/>
      <c r="U296" s="169"/>
      <c r="V296" s="169"/>
      <c r="W296" s="169"/>
      <c r="X296" s="169"/>
      <c r="Y296" s="169"/>
      <c r="Z296" s="169"/>
      <c r="AA296" s="169"/>
      <c r="AB296" s="169"/>
      <c r="AC296" s="169"/>
      <c r="AD296" s="169"/>
      <c r="AE296" s="169"/>
      <c r="AF296" s="169"/>
      <c r="AG296" s="169"/>
      <c r="AH296" s="169"/>
      <c r="AI296" s="169"/>
      <c r="AJ296" s="169"/>
      <c r="AK296" s="169"/>
      <c r="AL296" s="169"/>
      <c r="AM296" s="169"/>
      <c r="AN296" s="169"/>
      <c r="AO296" s="169"/>
      <c r="AP296" s="169"/>
    </row>
    <row r="297" spans="5:42" x14ac:dyDescent="0.2">
      <c r="E297" s="169"/>
      <c r="F297" s="169"/>
      <c r="G297" s="169"/>
      <c r="H297" s="169"/>
      <c r="I297" s="169"/>
      <c r="J297" s="169"/>
      <c r="K297" s="169"/>
      <c r="L297" s="169"/>
      <c r="M297" s="169"/>
      <c r="N297" s="169"/>
      <c r="O297" s="169"/>
      <c r="P297" s="169"/>
      <c r="Q297" s="169"/>
      <c r="R297" s="169"/>
      <c r="S297" s="169"/>
      <c r="T297" s="169"/>
      <c r="U297" s="169"/>
      <c r="V297" s="169"/>
      <c r="W297" s="169"/>
      <c r="X297" s="169"/>
      <c r="Y297" s="169"/>
      <c r="Z297" s="169"/>
      <c r="AA297" s="169"/>
      <c r="AB297" s="169"/>
      <c r="AC297" s="169"/>
      <c r="AD297" s="169"/>
      <c r="AE297" s="169"/>
      <c r="AF297" s="169"/>
      <c r="AG297" s="169"/>
      <c r="AH297" s="169"/>
      <c r="AI297" s="169"/>
      <c r="AJ297" s="169"/>
      <c r="AK297" s="169"/>
      <c r="AL297" s="169"/>
      <c r="AM297" s="169"/>
      <c r="AN297" s="169"/>
      <c r="AO297" s="169"/>
      <c r="AP297" s="169"/>
    </row>
    <row r="298" spans="5:42" x14ac:dyDescent="0.2">
      <c r="E298" s="169"/>
      <c r="F298" s="169"/>
      <c r="G298" s="169"/>
      <c r="H298" s="169"/>
      <c r="I298" s="169"/>
      <c r="J298" s="169"/>
      <c r="K298" s="169"/>
      <c r="L298" s="169"/>
      <c r="M298" s="169"/>
      <c r="N298" s="169"/>
      <c r="O298" s="169"/>
      <c r="P298" s="169"/>
      <c r="Q298" s="169"/>
      <c r="R298" s="169"/>
      <c r="S298" s="169"/>
      <c r="T298" s="169"/>
      <c r="U298" s="169"/>
      <c r="V298" s="169"/>
      <c r="W298" s="169"/>
      <c r="X298" s="169"/>
      <c r="Y298" s="169"/>
      <c r="Z298" s="169"/>
      <c r="AA298" s="169"/>
      <c r="AB298" s="169"/>
      <c r="AC298" s="169"/>
      <c r="AD298" s="169"/>
      <c r="AE298" s="169"/>
      <c r="AF298" s="169"/>
      <c r="AG298" s="169"/>
      <c r="AH298" s="169"/>
      <c r="AI298" s="169"/>
      <c r="AJ298" s="169"/>
      <c r="AK298" s="169"/>
      <c r="AL298" s="169"/>
      <c r="AM298" s="169"/>
      <c r="AN298" s="169"/>
      <c r="AO298" s="169"/>
      <c r="AP298" s="169"/>
    </row>
    <row r="299" spans="5:42" x14ac:dyDescent="0.2">
      <c r="E299" s="169"/>
      <c r="F299" s="169"/>
      <c r="G299" s="169"/>
      <c r="H299" s="169"/>
      <c r="I299" s="169"/>
      <c r="J299" s="169"/>
      <c r="K299" s="169"/>
      <c r="L299" s="169"/>
      <c r="M299" s="169"/>
      <c r="N299" s="169"/>
      <c r="O299" s="169"/>
      <c r="P299" s="169"/>
      <c r="Q299" s="169"/>
      <c r="R299" s="169"/>
      <c r="S299" s="169"/>
      <c r="T299" s="169"/>
      <c r="U299" s="169"/>
      <c r="V299" s="169"/>
      <c r="W299" s="169"/>
      <c r="X299" s="169"/>
      <c r="Y299" s="169"/>
      <c r="Z299" s="169"/>
      <c r="AA299" s="169"/>
      <c r="AB299" s="169"/>
      <c r="AC299" s="169"/>
      <c r="AD299" s="169"/>
      <c r="AE299" s="169"/>
      <c r="AF299" s="169"/>
      <c r="AG299" s="169"/>
      <c r="AH299" s="169"/>
      <c r="AI299" s="169"/>
      <c r="AJ299" s="169"/>
      <c r="AK299" s="169"/>
      <c r="AL299" s="169"/>
      <c r="AM299" s="169"/>
      <c r="AN299" s="169"/>
      <c r="AO299" s="169"/>
      <c r="AP299" s="169"/>
    </row>
    <row r="300" spans="5:42" x14ac:dyDescent="0.2">
      <c r="E300" s="169"/>
      <c r="F300" s="169"/>
      <c r="G300" s="169"/>
      <c r="H300" s="169"/>
      <c r="I300" s="169"/>
      <c r="J300" s="169"/>
      <c r="K300" s="169"/>
      <c r="L300" s="169"/>
      <c r="M300" s="169"/>
      <c r="N300" s="169"/>
      <c r="O300" s="169"/>
      <c r="P300" s="169"/>
      <c r="Q300" s="169"/>
      <c r="R300" s="169"/>
      <c r="S300" s="169"/>
      <c r="T300" s="169"/>
      <c r="U300" s="169"/>
      <c r="V300" s="169"/>
      <c r="W300" s="169"/>
      <c r="X300" s="169"/>
      <c r="Y300" s="169"/>
      <c r="Z300" s="169"/>
      <c r="AA300" s="169"/>
      <c r="AB300" s="169"/>
      <c r="AC300" s="169"/>
      <c r="AD300" s="169"/>
      <c r="AE300" s="169"/>
      <c r="AF300" s="169"/>
      <c r="AG300" s="169"/>
      <c r="AH300" s="169"/>
      <c r="AI300" s="169"/>
      <c r="AJ300" s="169"/>
      <c r="AK300" s="169"/>
      <c r="AL300" s="169"/>
      <c r="AM300" s="169"/>
      <c r="AN300" s="169"/>
      <c r="AO300" s="169"/>
      <c r="AP300" s="169"/>
    </row>
    <row r="301" spans="5:42" x14ac:dyDescent="0.2">
      <c r="E301" s="169"/>
      <c r="F301" s="169"/>
      <c r="G301" s="169"/>
      <c r="H301" s="169"/>
      <c r="I301" s="169"/>
      <c r="J301" s="169"/>
      <c r="K301" s="169"/>
      <c r="L301" s="169"/>
      <c r="M301" s="169"/>
      <c r="N301" s="169"/>
      <c r="O301" s="169"/>
      <c r="P301" s="169"/>
      <c r="Q301" s="169"/>
      <c r="R301" s="169"/>
      <c r="S301" s="169"/>
      <c r="T301" s="169"/>
      <c r="U301" s="169"/>
      <c r="V301" s="169"/>
      <c r="W301" s="169"/>
      <c r="X301" s="169"/>
      <c r="Y301" s="169"/>
      <c r="Z301" s="169"/>
      <c r="AA301" s="169"/>
      <c r="AB301" s="169"/>
      <c r="AC301" s="169"/>
      <c r="AD301" s="169"/>
      <c r="AE301" s="169"/>
      <c r="AF301" s="169"/>
      <c r="AG301" s="169"/>
      <c r="AH301" s="169"/>
      <c r="AI301" s="169"/>
      <c r="AJ301" s="169"/>
      <c r="AK301" s="169"/>
      <c r="AL301" s="169"/>
      <c r="AM301" s="169"/>
      <c r="AN301" s="169"/>
      <c r="AO301" s="169"/>
      <c r="AP301" s="169"/>
    </row>
    <row r="302" spans="5:42" x14ac:dyDescent="0.2">
      <c r="E302" s="169"/>
      <c r="F302" s="169"/>
      <c r="G302" s="169"/>
      <c r="H302" s="169"/>
      <c r="I302" s="169"/>
      <c r="J302" s="169"/>
      <c r="K302" s="169"/>
      <c r="L302" s="169"/>
      <c r="M302" s="169"/>
      <c r="N302" s="169"/>
      <c r="O302" s="169"/>
      <c r="P302" s="169"/>
      <c r="Q302" s="169"/>
      <c r="R302" s="169"/>
      <c r="S302" s="169"/>
      <c r="T302" s="169"/>
      <c r="U302" s="169"/>
      <c r="V302" s="169"/>
      <c r="W302" s="169"/>
      <c r="X302" s="169"/>
      <c r="Y302" s="169"/>
      <c r="Z302" s="169"/>
      <c r="AA302" s="169"/>
      <c r="AB302" s="169"/>
      <c r="AC302" s="169"/>
      <c r="AD302" s="169"/>
      <c r="AE302" s="169"/>
      <c r="AF302" s="169"/>
      <c r="AG302" s="169"/>
      <c r="AH302" s="169"/>
      <c r="AI302" s="169"/>
      <c r="AJ302" s="169"/>
      <c r="AK302" s="169"/>
      <c r="AL302" s="169"/>
      <c r="AM302" s="169"/>
      <c r="AN302" s="169"/>
      <c r="AO302" s="169"/>
      <c r="AP302" s="169"/>
    </row>
    <row r="303" spans="5:42" x14ac:dyDescent="0.2">
      <c r="E303" s="169"/>
      <c r="F303" s="169"/>
      <c r="G303" s="169"/>
      <c r="H303" s="169"/>
      <c r="I303" s="169"/>
      <c r="J303" s="169"/>
      <c r="K303" s="169"/>
      <c r="L303" s="169"/>
      <c r="M303" s="169"/>
      <c r="N303" s="169"/>
      <c r="O303" s="169"/>
      <c r="P303" s="169"/>
      <c r="Q303" s="169"/>
      <c r="R303" s="169"/>
      <c r="S303" s="169"/>
      <c r="T303" s="169"/>
      <c r="U303" s="169"/>
      <c r="V303" s="169"/>
      <c r="W303" s="169"/>
      <c r="X303" s="169"/>
      <c r="Y303" s="169"/>
      <c r="Z303" s="169"/>
      <c r="AA303" s="169"/>
      <c r="AB303" s="169"/>
      <c r="AC303" s="169"/>
      <c r="AD303" s="169"/>
      <c r="AE303" s="169"/>
      <c r="AF303" s="169"/>
      <c r="AG303" s="169"/>
      <c r="AH303" s="169"/>
      <c r="AI303" s="169"/>
      <c r="AJ303" s="169"/>
      <c r="AK303" s="169"/>
      <c r="AL303" s="169"/>
      <c r="AM303" s="169"/>
      <c r="AN303" s="169"/>
      <c r="AO303" s="169"/>
      <c r="AP303" s="169"/>
    </row>
    <row r="304" spans="5:42" x14ac:dyDescent="0.2">
      <c r="E304" s="169"/>
      <c r="F304" s="169"/>
      <c r="G304" s="169"/>
      <c r="H304" s="169"/>
      <c r="I304" s="169"/>
      <c r="J304" s="169"/>
      <c r="K304" s="169"/>
      <c r="L304" s="169"/>
      <c r="M304" s="169"/>
      <c r="N304" s="169"/>
      <c r="O304" s="169"/>
      <c r="P304" s="169"/>
      <c r="Q304" s="169"/>
      <c r="R304" s="169"/>
      <c r="S304" s="169"/>
      <c r="T304" s="169"/>
      <c r="U304" s="169"/>
      <c r="V304" s="169"/>
      <c r="W304" s="169"/>
      <c r="X304" s="169"/>
      <c r="Y304" s="169"/>
      <c r="Z304" s="169"/>
      <c r="AA304" s="169"/>
      <c r="AB304" s="169"/>
      <c r="AC304" s="169"/>
      <c r="AD304" s="169"/>
      <c r="AE304" s="169"/>
      <c r="AF304" s="169"/>
      <c r="AG304" s="169"/>
      <c r="AH304" s="169"/>
      <c r="AI304" s="169"/>
      <c r="AJ304" s="169"/>
      <c r="AK304" s="169"/>
      <c r="AL304" s="169"/>
      <c r="AM304" s="169"/>
      <c r="AN304" s="169"/>
      <c r="AO304" s="169"/>
      <c r="AP304" s="169"/>
    </row>
    <row r="305" spans="5:42" x14ac:dyDescent="0.2">
      <c r="E305" s="169"/>
      <c r="F305" s="169"/>
      <c r="G305" s="169"/>
      <c r="H305" s="169"/>
      <c r="I305" s="169"/>
      <c r="J305" s="169"/>
      <c r="K305" s="169"/>
      <c r="L305" s="169"/>
      <c r="M305" s="169"/>
      <c r="N305" s="169"/>
      <c r="O305" s="169"/>
      <c r="P305" s="169"/>
      <c r="Q305" s="169"/>
      <c r="R305" s="169"/>
      <c r="S305" s="169"/>
      <c r="T305" s="169"/>
      <c r="U305" s="169"/>
      <c r="V305" s="169"/>
      <c r="W305" s="169"/>
      <c r="X305" s="169"/>
      <c r="Y305" s="169"/>
      <c r="Z305" s="169"/>
      <c r="AA305" s="169"/>
      <c r="AB305" s="169"/>
      <c r="AC305" s="169"/>
      <c r="AD305" s="169"/>
      <c r="AE305" s="169"/>
      <c r="AF305" s="169"/>
      <c r="AG305" s="169"/>
      <c r="AH305" s="169"/>
      <c r="AI305" s="169"/>
      <c r="AJ305" s="169"/>
      <c r="AK305" s="169"/>
      <c r="AL305" s="169"/>
      <c r="AM305" s="169"/>
      <c r="AN305" s="169"/>
      <c r="AO305" s="169"/>
      <c r="AP305" s="169"/>
    </row>
    <row r="306" spans="5:42" x14ac:dyDescent="0.2">
      <c r="E306" s="169"/>
      <c r="F306" s="169"/>
      <c r="G306" s="169"/>
      <c r="H306" s="169"/>
      <c r="I306" s="169"/>
      <c r="J306" s="169"/>
      <c r="K306" s="169"/>
      <c r="L306" s="169"/>
      <c r="M306" s="169"/>
      <c r="N306" s="169"/>
      <c r="O306" s="169"/>
      <c r="P306" s="169"/>
      <c r="Q306" s="169"/>
      <c r="R306" s="169"/>
      <c r="S306" s="169"/>
      <c r="T306" s="169"/>
      <c r="U306" s="169"/>
      <c r="V306" s="169"/>
      <c r="W306" s="169"/>
      <c r="X306" s="169"/>
      <c r="Y306" s="169"/>
      <c r="Z306" s="169"/>
      <c r="AA306" s="169"/>
      <c r="AB306" s="169"/>
      <c r="AC306" s="169"/>
      <c r="AD306" s="169"/>
      <c r="AE306" s="169"/>
      <c r="AF306" s="169"/>
      <c r="AG306" s="169"/>
      <c r="AH306" s="169"/>
      <c r="AI306" s="169"/>
      <c r="AJ306" s="169"/>
      <c r="AK306" s="169"/>
      <c r="AL306" s="169"/>
      <c r="AM306" s="169"/>
      <c r="AN306" s="169"/>
      <c r="AO306" s="169"/>
      <c r="AP306" s="169"/>
    </row>
    <row r="307" spans="5:42" x14ac:dyDescent="0.2">
      <c r="E307" s="169"/>
      <c r="F307" s="169"/>
      <c r="G307" s="169"/>
      <c r="H307" s="169"/>
      <c r="I307" s="169"/>
      <c r="J307" s="169"/>
      <c r="K307" s="169"/>
      <c r="L307" s="169"/>
      <c r="M307" s="169"/>
      <c r="N307" s="169"/>
      <c r="O307" s="169"/>
      <c r="P307" s="169"/>
      <c r="Q307" s="169"/>
      <c r="R307" s="169"/>
      <c r="S307" s="169"/>
      <c r="T307" s="169"/>
      <c r="U307" s="169"/>
      <c r="V307" s="169"/>
      <c r="W307" s="169"/>
      <c r="X307" s="169"/>
      <c r="Y307" s="169"/>
      <c r="Z307" s="169"/>
      <c r="AA307" s="169"/>
      <c r="AB307" s="169"/>
      <c r="AC307" s="169"/>
      <c r="AD307" s="169"/>
      <c r="AE307" s="169"/>
      <c r="AF307" s="169"/>
      <c r="AG307" s="169"/>
      <c r="AH307" s="169"/>
      <c r="AI307" s="169"/>
      <c r="AJ307" s="169"/>
      <c r="AK307" s="169"/>
      <c r="AL307" s="169"/>
      <c r="AM307" s="169"/>
      <c r="AN307" s="169"/>
      <c r="AO307" s="169"/>
      <c r="AP307" s="169"/>
    </row>
    <row r="308" spans="5:42" x14ac:dyDescent="0.2">
      <c r="E308" s="169"/>
      <c r="F308" s="169"/>
      <c r="G308" s="169"/>
      <c r="H308" s="169"/>
      <c r="I308" s="169"/>
      <c r="J308" s="169"/>
      <c r="K308" s="169"/>
      <c r="L308" s="169"/>
      <c r="M308" s="169"/>
      <c r="N308" s="169"/>
      <c r="O308" s="169"/>
      <c r="P308" s="169"/>
      <c r="Q308" s="169"/>
      <c r="R308" s="169"/>
      <c r="S308" s="169"/>
      <c r="T308" s="169"/>
      <c r="U308" s="169"/>
      <c r="V308" s="169"/>
      <c r="W308" s="169"/>
      <c r="X308" s="169"/>
      <c r="Y308" s="169"/>
      <c r="Z308" s="169"/>
      <c r="AA308" s="169"/>
      <c r="AB308" s="169"/>
      <c r="AC308" s="169"/>
      <c r="AD308" s="169"/>
      <c r="AE308" s="169"/>
      <c r="AF308" s="169"/>
      <c r="AG308" s="169"/>
      <c r="AH308" s="169"/>
      <c r="AI308" s="169"/>
      <c r="AJ308" s="169"/>
      <c r="AK308" s="169"/>
      <c r="AL308" s="169"/>
      <c r="AM308" s="169"/>
      <c r="AN308" s="169"/>
      <c r="AO308" s="169"/>
      <c r="AP308" s="169"/>
    </row>
    <row r="309" spans="5:42" x14ac:dyDescent="0.2">
      <c r="E309" s="169"/>
      <c r="F309" s="169"/>
      <c r="G309" s="169"/>
      <c r="H309" s="169"/>
      <c r="I309" s="169"/>
      <c r="J309" s="169"/>
      <c r="K309" s="169"/>
      <c r="L309" s="169"/>
      <c r="M309" s="169"/>
      <c r="N309" s="169"/>
      <c r="O309" s="169"/>
      <c r="P309" s="169"/>
      <c r="Q309" s="169"/>
      <c r="R309" s="169"/>
      <c r="S309" s="169"/>
      <c r="T309" s="169"/>
      <c r="U309" s="169"/>
      <c r="V309" s="169"/>
      <c r="W309" s="169"/>
      <c r="X309" s="169"/>
      <c r="Y309" s="169"/>
      <c r="Z309" s="169"/>
      <c r="AA309" s="169"/>
      <c r="AB309" s="169"/>
      <c r="AC309" s="169"/>
      <c r="AD309" s="169"/>
      <c r="AE309" s="169"/>
      <c r="AF309" s="169"/>
      <c r="AG309" s="169"/>
      <c r="AH309" s="169"/>
      <c r="AI309" s="169"/>
      <c r="AJ309" s="169"/>
      <c r="AK309" s="169"/>
      <c r="AL309" s="169"/>
      <c r="AM309" s="169"/>
      <c r="AN309" s="169"/>
      <c r="AO309" s="169"/>
      <c r="AP309" s="169"/>
    </row>
    <row r="310" spans="5:42" x14ac:dyDescent="0.2">
      <c r="E310" s="169"/>
      <c r="F310" s="169"/>
      <c r="G310" s="169"/>
      <c r="H310" s="169"/>
      <c r="I310" s="169"/>
      <c r="J310" s="169"/>
      <c r="K310" s="169"/>
      <c r="L310" s="169"/>
      <c r="M310" s="169"/>
      <c r="N310" s="169"/>
      <c r="O310" s="169"/>
      <c r="P310" s="169"/>
      <c r="Q310" s="169"/>
      <c r="R310" s="169"/>
      <c r="S310" s="169"/>
      <c r="T310" s="169"/>
      <c r="U310" s="169"/>
      <c r="V310" s="169"/>
      <c r="W310" s="169"/>
      <c r="X310" s="169"/>
      <c r="Y310" s="169"/>
      <c r="Z310" s="169"/>
      <c r="AA310" s="169"/>
      <c r="AB310" s="169"/>
      <c r="AC310" s="169"/>
      <c r="AD310" s="169"/>
      <c r="AE310" s="169"/>
      <c r="AF310" s="169"/>
      <c r="AG310" s="169"/>
      <c r="AH310" s="169"/>
      <c r="AI310" s="169"/>
      <c r="AJ310" s="169"/>
      <c r="AK310" s="169"/>
      <c r="AL310" s="169"/>
      <c r="AM310" s="169"/>
      <c r="AN310" s="169"/>
      <c r="AO310" s="169"/>
      <c r="AP310" s="169"/>
    </row>
    <row r="311" spans="5:42" x14ac:dyDescent="0.2">
      <c r="E311" s="169"/>
      <c r="F311" s="169"/>
      <c r="G311" s="169"/>
      <c r="H311" s="169"/>
      <c r="I311" s="169"/>
      <c r="J311" s="169"/>
      <c r="K311" s="169"/>
      <c r="L311" s="169"/>
      <c r="M311" s="169"/>
      <c r="N311" s="169"/>
      <c r="O311" s="169"/>
      <c r="P311" s="169"/>
      <c r="Q311" s="169"/>
      <c r="R311" s="169"/>
      <c r="S311" s="169"/>
      <c r="T311" s="169"/>
      <c r="U311" s="169"/>
      <c r="V311" s="169"/>
      <c r="W311" s="169"/>
      <c r="X311" s="169"/>
      <c r="Y311" s="169"/>
      <c r="Z311" s="169"/>
      <c r="AA311" s="169"/>
      <c r="AB311" s="169"/>
      <c r="AC311" s="169"/>
      <c r="AD311" s="169"/>
      <c r="AE311" s="169"/>
      <c r="AF311" s="169"/>
      <c r="AG311" s="169"/>
      <c r="AH311" s="169"/>
      <c r="AI311" s="169"/>
      <c r="AJ311" s="169"/>
      <c r="AK311" s="169"/>
      <c r="AL311" s="169"/>
      <c r="AM311" s="169"/>
      <c r="AN311" s="169"/>
      <c r="AO311" s="169"/>
      <c r="AP311" s="169"/>
    </row>
    <row r="312" spans="5:42" x14ac:dyDescent="0.2">
      <c r="E312" s="169"/>
      <c r="F312" s="169"/>
      <c r="G312" s="169"/>
      <c r="H312" s="169"/>
      <c r="I312" s="169"/>
      <c r="J312" s="169"/>
      <c r="K312" s="169"/>
      <c r="L312" s="169"/>
      <c r="M312" s="169"/>
      <c r="N312" s="169"/>
      <c r="O312" s="169"/>
      <c r="P312" s="169"/>
      <c r="Q312" s="169"/>
      <c r="R312" s="169"/>
      <c r="S312" s="169"/>
      <c r="T312" s="169"/>
      <c r="U312" s="169"/>
      <c r="V312" s="169"/>
      <c r="W312" s="169"/>
      <c r="X312" s="169"/>
      <c r="Y312" s="169"/>
      <c r="Z312" s="169"/>
      <c r="AA312" s="169"/>
      <c r="AB312" s="169"/>
      <c r="AC312" s="169"/>
      <c r="AD312" s="169"/>
      <c r="AE312" s="169"/>
      <c r="AF312" s="169"/>
      <c r="AG312" s="169"/>
      <c r="AH312" s="169"/>
      <c r="AI312" s="169"/>
      <c r="AJ312" s="169"/>
      <c r="AK312" s="169"/>
      <c r="AL312" s="169"/>
      <c r="AM312" s="169"/>
      <c r="AN312" s="169"/>
      <c r="AO312" s="169"/>
      <c r="AP312" s="169"/>
    </row>
    <row r="313" spans="5:42" x14ac:dyDescent="0.2">
      <c r="E313" s="169"/>
      <c r="F313" s="169"/>
      <c r="G313" s="169"/>
      <c r="H313" s="169"/>
      <c r="I313" s="169"/>
      <c r="J313" s="169"/>
      <c r="K313" s="169"/>
      <c r="L313" s="169"/>
      <c r="M313" s="169"/>
      <c r="N313" s="169"/>
      <c r="O313" s="169"/>
      <c r="P313" s="169"/>
      <c r="Q313" s="169"/>
      <c r="R313" s="169"/>
      <c r="S313" s="169"/>
      <c r="T313" s="169"/>
      <c r="U313" s="169"/>
      <c r="V313" s="169"/>
      <c r="W313" s="169"/>
      <c r="X313" s="169"/>
      <c r="Y313" s="169"/>
      <c r="Z313" s="169"/>
      <c r="AA313" s="169"/>
      <c r="AB313" s="169"/>
      <c r="AC313" s="169"/>
      <c r="AD313" s="169"/>
      <c r="AE313" s="169"/>
      <c r="AF313" s="169"/>
      <c r="AG313" s="169"/>
      <c r="AH313" s="169"/>
      <c r="AI313" s="169"/>
      <c r="AJ313" s="169"/>
      <c r="AK313" s="169"/>
      <c r="AL313" s="169"/>
      <c r="AM313" s="169"/>
      <c r="AN313" s="169"/>
      <c r="AO313" s="169"/>
      <c r="AP313" s="169"/>
    </row>
    <row r="314" spans="5:42" x14ac:dyDescent="0.2">
      <c r="E314" s="169"/>
      <c r="F314" s="169"/>
      <c r="G314" s="169"/>
      <c r="H314" s="169"/>
      <c r="I314" s="169"/>
      <c r="J314" s="169"/>
      <c r="K314" s="169"/>
      <c r="L314" s="169"/>
      <c r="M314" s="169"/>
      <c r="N314" s="169"/>
      <c r="O314" s="169"/>
      <c r="P314" s="169"/>
      <c r="Q314" s="169"/>
      <c r="R314" s="169"/>
      <c r="S314" s="169"/>
      <c r="T314" s="169"/>
      <c r="U314" s="169"/>
      <c r="V314" s="169"/>
      <c r="W314" s="169"/>
      <c r="X314" s="169"/>
      <c r="Y314" s="169"/>
      <c r="Z314" s="169"/>
      <c r="AA314" s="169"/>
      <c r="AB314" s="169"/>
      <c r="AC314" s="169"/>
      <c r="AD314" s="169"/>
      <c r="AE314" s="169"/>
      <c r="AF314" s="169"/>
      <c r="AG314" s="169"/>
      <c r="AH314" s="169"/>
      <c r="AI314" s="169"/>
      <c r="AJ314" s="169"/>
      <c r="AK314" s="169"/>
      <c r="AL314" s="169"/>
      <c r="AM314" s="169"/>
      <c r="AN314" s="169"/>
      <c r="AO314" s="169"/>
      <c r="AP314" s="169"/>
    </row>
    <row r="315" spans="5:42" x14ac:dyDescent="0.2">
      <c r="E315" s="169"/>
      <c r="F315" s="169"/>
      <c r="G315" s="169"/>
      <c r="H315" s="169"/>
      <c r="I315" s="169"/>
      <c r="J315" s="169"/>
      <c r="K315" s="169"/>
      <c r="L315" s="169"/>
      <c r="M315" s="169"/>
      <c r="N315" s="169"/>
      <c r="O315" s="169"/>
      <c r="P315" s="169"/>
      <c r="Q315" s="169"/>
      <c r="R315" s="169"/>
      <c r="S315" s="169"/>
      <c r="T315" s="169"/>
      <c r="U315" s="169"/>
      <c r="V315" s="169"/>
      <c r="W315" s="169"/>
      <c r="X315" s="169"/>
      <c r="Y315" s="169"/>
      <c r="Z315" s="169"/>
      <c r="AA315" s="169"/>
      <c r="AB315" s="169"/>
      <c r="AC315" s="169"/>
      <c r="AD315" s="169"/>
      <c r="AE315" s="169"/>
      <c r="AF315" s="169"/>
      <c r="AG315" s="169"/>
      <c r="AH315" s="169"/>
      <c r="AI315" s="169"/>
      <c r="AJ315" s="169"/>
      <c r="AK315" s="169"/>
      <c r="AL315" s="169"/>
      <c r="AM315" s="169"/>
      <c r="AN315" s="169"/>
      <c r="AO315" s="169"/>
      <c r="AP315" s="169"/>
    </row>
    <row r="316" spans="5:42" x14ac:dyDescent="0.2">
      <c r="E316" s="169"/>
      <c r="F316" s="169"/>
      <c r="G316" s="169"/>
      <c r="H316" s="169"/>
      <c r="I316" s="169"/>
      <c r="J316" s="169"/>
      <c r="K316" s="169"/>
      <c r="L316" s="169"/>
      <c r="M316" s="169"/>
      <c r="N316" s="169"/>
      <c r="O316" s="169"/>
      <c r="P316" s="169"/>
      <c r="Q316" s="169"/>
      <c r="R316" s="169"/>
      <c r="S316" s="169"/>
      <c r="T316" s="169"/>
      <c r="U316" s="169"/>
      <c r="V316" s="169"/>
      <c r="W316" s="169"/>
      <c r="X316" s="169"/>
      <c r="Y316" s="169"/>
      <c r="Z316" s="169"/>
      <c r="AA316" s="169"/>
      <c r="AB316" s="169"/>
      <c r="AC316" s="169"/>
      <c r="AD316" s="169"/>
      <c r="AE316" s="169"/>
      <c r="AF316" s="169"/>
      <c r="AG316" s="169"/>
      <c r="AH316" s="169"/>
      <c r="AI316" s="169"/>
      <c r="AJ316" s="169"/>
      <c r="AK316" s="169"/>
      <c r="AL316" s="169"/>
      <c r="AM316" s="169"/>
      <c r="AN316" s="169"/>
      <c r="AO316" s="169"/>
      <c r="AP316" s="169"/>
    </row>
    <row r="317" spans="5:42" x14ac:dyDescent="0.2">
      <c r="E317" s="169"/>
      <c r="F317" s="169"/>
      <c r="G317" s="169"/>
      <c r="H317" s="169"/>
      <c r="I317" s="169"/>
      <c r="J317" s="169"/>
      <c r="K317" s="169"/>
      <c r="L317" s="169"/>
      <c r="M317" s="169"/>
      <c r="N317" s="169"/>
      <c r="O317" s="169"/>
      <c r="P317" s="169"/>
      <c r="Q317" s="169"/>
      <c r="R317" s="169"/>
      <c r="S317" s="169"/>
      <c r="T317" s="169"/>
      <c r="U317" s="169"/>
      <c r="V317" s="169"/>
      <c r="W317" s="169"/>
      <c r="X317" s="169"/>
      <c r="Y317" s="169"/>
      <c r="Z317" s="169"/>
      <c r="AA317" s="169"/>
      <c r="AB317" s="169"/>
      <c r="AC317" s="169"/>
      <c r="AD317" s="169"/>
      <c r="AE317" s="169"/>
      <c r="AF317" s="169"/>
      <c r="AG317" s="169"/>
      <c r="AH317" s="169"/>
      <c r="AI317" s="169"/>
      <c r="AJ317" s="169"/>
      <c r="AK317" s="169"/>
      <c r="AL317" s="169"/>
      <c r="AM317" s="169"/>
      <c r="AN317" s="169"/>
      <c r="AO317" s="169"/>
      <c r="AP317" s="169"/>
    </row>
    <row r="318" spans="5:42" x14ac:dyDescent="0.2">
      <c r="E318" s="169"/>
      <c r="F318" s="169"/>
      <c r="G318" s="169"/>
      <c r="H318" s="169"/>
      <c r="I318" s="169"/>
      <c r="J318" s="169"/>
      <c r="K318" s="169"/>
      <c r="L318" s="169"/>
      <c r="M318" s="169"/>
      <c r="N318" s="169"/>
      <c r="O318" s="169"/>
      <c r="P318" s="169"/>
      <c r="Q318" s="169"/>
      <c r="R318" s="169"/>
      <c r="S318" s="169"/>
      <c r="T318" s="169"/>
      <c r="U318" s="169"/>
      <c r="V318" s="169"/>
      <c r="W318" s="169"/>
      <c r="X318" s="169"/>
      <c r="Y318" s="169"/>
      <c r="Z318" s="169"/>
      <c r="AA318" s="169"/>
      <c r="AB318" s="169"/>
      <c r="AC318" s="169"/>
      <c r="AD318" s="169"/>
      <c r="AE318" s="169"/>
      <c r="AF318" s="169"/>
      <c r="AG318" s="169"/>
      <c r="AH318" s="169"/>
      <c r="AI318" s="169"/>
      <c r="AJ318" s="169"/>
      <c r="AK318" s="169"/>
      <c r="AL318" s="169"/>
      <c r="AM318" s="169"/>
      <c r="AN318" s="169"/>
      <c r="AO318" s="169"/>
      <c r="AP318" s="169"/>
    </row>
    <row r="319" spans="5:42" x14ac:dyDescent="0.2">
      <c r="E319" s="169"/>
      <c r="F319" s="169"/>
      <c r="G319" s="169"/>
      <c r="H319" s="169"/>
      <c r="I319" s="169"/>
      <c r="J319" s="169"/>
      <c r="K319" s="169"/>
      <c r="L319" s="169"/>
      <c r="M319" s="169"/>
      <c r="N319" s="169"/>
      <c r="O319" s="169"/>
      <c r="P319" s="169"/>
      <c r="Q319" s="169"/>
      <c r="R319" s="169"/>
      <c r="S319" s="169"/>
      <c r="T319" s="169"/>
      <c r="U319" s="169"/>
      <c r="V319" s="169"/>
      <c r="W319" s="169"/>
      <c r="X319" s="169"/>
      <c r="Y319" s="169"/>
      <c r="Z319" s="169"/>
      <c r="AA319" s="169"/>
      <c r="AB319" s="169"/>
      <c r="AC319" s="169"/>
      <c r="AD319" s="169"/>
      <c r="AE319" s="169"/>
      <c r="AF319" s="169"/>
      <c r="AG319" s="169"/>
      <c r="AH319" s="169"/>
      <c r="AI319" s="169"/>
      <c r="AJ319" s="169"/>
      <c r="AK319" s="169"/>
      <c r="AL319" s="169"/>
      <c r="AM319" s="169"/>
      <c r="AN319" s="169"/>
      <c r="AO319" s="169"/>
      <c r="AP319" s="169"/>
    </row>
    <row r="320" spans="5:42" x14ac:dyDescent="0.2">
      <c r="E320" s="169"/>
      <c r="F320" s="169"/>
      <c r="G320" s="169"/>
      <c r="H320" s="169"/>
      <c r="I320" s="169"/>
      <c r="J320" s="169"/>
      <c r="K320" s="169"/>
      <c r="L320" s="169"/>
      <c r="M320" s="169"/>
      <c r="N320" s="169"/>
      <c r="O320" s="169"/>
      <c r="P320" s="169"/>
      <c r="Q320" s="169"/>
      <c r="R320" s="169"/>
      <c r="S320" s="169"/>
      <c r="T320" s="169"/>
      <c r="U320" s="169"/>
      <c r="V320" s="169"/>
      <c r="W320" s="169"/>
      <c r="X320" s="169"/>
      <c r="Y320" s="169"/>
      <c r="Z320" s="169"/>
      <c r="AA320" s="169"/>
      <c r="AB320" s="169"/>
      <c r="AC320" s="169"/>
      <c r="AD320" s="169"/>
      <c r="AE320" s="169"/>
      <c r="AF320" s="169"/>
      <c r="AG320" s="169"/>
      <c r="AH320" s="169"/>
      <c r="AI320" s="169"/>
      <c r="AJ320" s="169"/>
      <c r="AK320" s="169"/>
      <c r="AL320" s="169"/>
      <c r="AM320" s="169"/>
      <c r="AN320" s="169"/>
      <c r="AO320" s="169"/>
      <c r="AP320" s="169"/>
    </row>
    <row r="321" spans="5:42" x14ac:dyDescent="0.2">
      <c r="E321" s="169"/>
      <c r="F321" s="169"/>
      <c r="G321" s="169"/>
      <c r="H321" s="169"/>
      <c r="I321" s="169"/>
      <c r="J321" s="169"/>
      <c r="K321" s="169"/>
      <c r="L321" s="169"/>
      <c r="M321" s="169"/>
      <c r="N321" s="169"/>
      <c r="O321" s="169"/>
      <c r="P321" s="169"/>
      <c r="Q321" s="169"/>
      <c r="R321" s="169"/>
      <c r="S321" s="169"/>
      <c r="T321" s="169"/>
      <c r="U321" s="169"/>
      <c r="V321" s="169"/>
      <c r="W321" s="169"/>
      <c r="X321" s="169"/>
      <c r="Y321" s="169"/>
      <c r="Z321" s="169"/>
      <c r="AA321" s="169"/>
      <c r="AB321" s="169"/>
      <c r="AC321" s="169"/>
      <c r="AD321" s="169"/>
      <c r="AE321" s="169"/>
      <c r="AF321" s="169"/>
      <c r="AG321" s="169"/>
      <c r="AH321" s="169"/>
      <c r="AI321" s="169"/>
      <c r="AJ321" s="169"/>
      <c r="AK321" s="169"/>
      <c r="AL321" s="169"/>
      <c r="AM321" s="169"/>
      <c r="AN321" s="169"/>
      <c r="AO321" s="169"/>
      <c r="AP321" s="169"/>
    </row>
    <row r="322" spans="5:42" x14ac:dyDescent="0.2">
      <c r="E322" s="169"/>
      <c r="F322" s="169"/>
      <c r="G322" s="169"/>
      <c r="H322" s="169"/>
      <c r="I322" s="169"/>
      <c r="J322" s="169"/>
      <c r="K322" s="169"/>
      <c r="L322" s="169"/>
      <c r="M322" s="169"/>
      <c r="N322" s="169"/>
      <c r="O322" s="169"/>
      <c r="P322" s="169"/>
      <c r="Q322" s="169"/>
      <c r="R322" s="169"/>
      <c r="S322" s="169"/>
      <c r="T322" s="169"/>
      <c r="U322" s="169"/>
      <c r="V322" s="169"/>
      <c r="W322" s="169"/>
      <c r="X322" s="169"/>
      <c r="Y322" s="169"/>
      <c r="Z322" s="169"/>
      <c r="AA322" s="169"/>
      <c r="AB322" s="169"/>
      <c r="AC322" s="169"/>
      <c r="AD322" s="169"/>
      <c r="AE322" s="169"/>
      <c r="AF322" s="169"/>
      <c r="AG322" s="169"/>
      <c r="AH322" s="169"/>
      <c r="AI322" s="169"/>
      <c r="AJ322" s="169"/>
      <c r="AK322" s="169"/>
      <c r="AL322" s="169"/>
      <c r="AM322" s="169"/>
      <c r="AN322" s="169"/>
      <c r="AO322" s="169"/>
      <c r="AP322" s="169"/>
    </row>
    <row r="323" spans="5:42" x14ac:dyDescent="0.2">
      <c r="E323" s="169"/>
      <c r="F323" s="169"/>
      <c r="G323" s="169"/>
      <c r="H323" s="169"/>
      <c r="I323" s="169"/>
      <c r="J323" s="169"/>
      <c r="K323" s="169"/>
      <c r="L323" s="169"/>
      <c r="M323" s="169"/>
      <c r="N323" s="169"/>
      <c r="O323" s="169"/>
      <c r="P323" s="169"/>
      <c r="Q323" s="169"/>
      <c r="R323" s="169"/>
      <c r="S323" s="169"/>
      <c r="T323" s="169"/>
      <c r="U323" s="169"/>
      <c r="V323" s="169"/>
      <c r="W323" s="169"/>
      <c r="X323" s="169"/>
      <c r="Y323" s="169"/>
      <c r="Z323" s="169"/>
      <c r="AA323" s="169"/>
      <c r="AB323" s="169"/>
      <c r="AC323" s="169"/>
      <c r="AD323" s="169"/>
      <c r="AE323" s="169"/>
      <c r="AF323" s="169"/>
      <c r="AG323" s="169"/>
      <c r="AH323" s="169"/>
      <c r="AI323" s="169"/>
      <c r="AJ323" s="169"/>
      <c r="AK323" s="169"/>
      <c r="AL323" s="169"/>
      <c r="AM323" s="169"/>
      <c r="AN323" s="169"/>
      <c r="AO323" s="169"/>
      <c r="AP323" s="169"/>
    </row>
    <row r="324" spans="5:42" x14ac:dyDescent="0.2">
      <c r="E324" s="169"/>
      <c r="F324" s="169"/>
      <c r="G324" s="169"/>
      <c r="H324" s="169"/>
      <c r="I324" s="169"/>
      <c r="J324" s="169"/>
      <c r="K324" s="169"/>
      <c r="L324" s="169"/>
      <c r="M324" s="169"/>
      <c r="N324" s="169"/>
      <c r="O324" s="169"/>
      <c r="P324" s="169"/>
      <c r="Q324" s="169"/>
      <c r="R324" s="169"/>
      <c r="S324" s="169"/>
      <c r="T324" s="169"/>
      <c r="U324" s="169"/>
      <c r="V324" s="169"/>
      <c r="W324" s="169"/>
      <c r="X324" s="169"/>
      <c r="Y324" s="169"/>
      <c r="Z324" s="169"/>
      <c r="AA324" s="169"/>
      <c r="AB324" s="169"/>
      <c r="AC324" s="169"/>
      <c r="AD324" s="169"/>
      <c r="AE324" s="169"/>
      <c r="AF324" s="169"/>
      <c r="AG324" s="169"/>
      <c r="AH324" s="169"/>
      <c r="AI324" s="169"/>
      <c r="AJ324" s="169"/>
      <c r="AK324" s="169"/>
      <c r="AL324" s="169"/>
      <c r="AM324" s="169"/>
      <c r="AN324" s="169"/>
      <c r="AO324" s="169"/>
      <c r="AP324" s="169"/>
    </row>
    <row r="325" spans="5:42" x14ac:dyDescent="0.2">
      <c r="E325" s="169"/>
      <c r="F325" s="169"/>
      <c r="G325" s="169"/>
      <c r="H325" s="169"/>
      <c r="I325" s="169"/>
      <c r="J325" s="169"/>
      <c r="K325" s="169"/>
      <c r="L325" s="169"/>
      <c r="M325" s="169"/>
      <c r="N325" s="169"/>
      <c r="O325" s="169"/>
      <c r="P325" s="169"/>
      <c r="Q325" s="169"/>
      <c r="R325" s="169"/>
      <c r="S325" s="169"/>
      <c r="T325" s="169"/>
      <c r="U325" s="169"/>
      <c r="V325" s="169"/>
      <c r="W325" s="169"/>
      <c r="X325" s="169"/>
      <c r="Y325" s="169"/>
      <c r="Z325" s="169"/>
      <c r="AA325" s="169"/>
      <c r="AB325" s="169"/>
      <c r="AC325" s="169"/>
      <c r="AD325" s="169"/>
      <c r="AE325" s="169"/>
      <c r="AF325" s="169"/>
      <c r="AG325" s="169"/>
      <c r="AH325" s="169"/>
      <c r="AI325" s="169"/>
      <c r="AJ325" s="169"/>
      <c r="AK325" s="169"/>
      <c r="AL325" s="169"/>
      <c r="AM325" s="169"/>
      <c r="AN325" s="169"/>
      <c r="AO325" s="169"/>
      <c r="AP325" s="169"/>
    </row>
    <row r="326" spans="5:42" x14ac:dyDescent="0.2">
      <c r="E326" s="169"/>
      <c r="F326" s="169"/>
      <c r="G326" s="169"/>
      <c r="H326" s="169"/>
      <c r="I326" s="169"/>
      <c r="J326" s="169"/>
      <c r="K326" s="169"/>
      <c r="L326" s="169"/>
      <c r="M326" s="169"/>
      <c r="N326" s="169"/>
      <c r="O326" s="169"/>
      <c r="P326" s="169"/>
      <c r="Q326" s="169"/>
      <c r="R326" s="169"/>
      <c r="S326" s="169"/>
      <c r="T326" s="169"/>
      <c r="U326" s="169"/>
      <c r="V326" s="169"/>
      <c r="W326" s="169"/>
      <c r="X326" s="169"/>
      <c r="Y326" s="169"/>
      <c r="Z326" s="169"/>
      <c r="AA326" s="169"/>
      <c r="AB326" s="169"/>
      <c r="AC326" s="169"/>
      <c r="AD326" s="169"/>
      <c r="AE326" s="169"/>
      <c r="AF326" s="169"/>
      <c r="AG326" s="169"/>
      <c r="AH326" s="169"/>
      <c r="AI326" s="169"/>
      <c r="AJ326" s="169"/>
      <c r="AK326" s="169"/>
      <c r="AL326" s="169"/>
      <c r="AM326" s="169"/>
      <c r="AN326" s="169"/>
      <c r="AO326" s="169"/>
      <c r="AP326" s="169"/>
    </row>
    <row r="327" spans="5:42" x14ac:dyDescent="0.2">
      <c r="E327" s="169"/>
      <c r="F327" s="169"/>
      <c r="G327" s="169"/>
      <c r="H327" s="169"/>
      <c r="I327" s="169"/>
      <c r="J327" s="169"/>
      <c r="K327" s="169"/>
      <c r="L327" s="169"/>
      <c r="M327" s="169"/>
      <c r="N327" s="169"/>
      <c r="O327" s="169"/>
      <c r="P327" s="169"/>
      <c r="Q327" s="169"/>
      <c r="R327" s="169"/>
      <c r="S327" s="169"/>
      <c r="T327" s="169"/>
      <c r="U327" s="169"/>
      <c r="V327" s="169"/>
      <c r="W327" s="169"/>
      <c r="X327" s="169"/>
      <c r="Y327" s="169"/>
      <c r="Z327" s="169"/>
      <c r="AA327" s="169"/>
      <c r="AB327" s="169"/>
      <c r="AC327" s="169"/>
      <c r="AD327" s="169"/>
      <c r="AE327" s="169"/>
      <c r="AF327" s="169"/>
      <c r="AG327" s="169"/>
      <c r="AH327" s="169"/>
      <c r="AI327" s="169"/>
      <c r="AJ327" s="169"/>
      <c r="AK327" s="169"/>
      <c r="AL327" s="169"/>
      <c r="AM327" s="169"/>
      <c r="AN327" s="169"/>
      <c r="AO327" s="169"/>
      <c r="AP327" s="169"/>
    </row>
    <row r="328" spans="5:42" x14ac:dyDescent="0.2">
      <c r="E328" s="169"/>
      <c r="F328" s="169"/>
      <c r="G328" s="169"/>
      <c r="H328" s="169"/>
      <c r="I328" s="169"/>
      <c r="J328" s="169"/>
      <c r="K328" s="169"/>
      <c r="L328" s="169"/>
      <c r="M328" s="169"/>
      <c r="N328" s="169"/>
      <c r="O328" s="169"/>
      <c r="P328" s="169"/>
      <c r="Q328" s="169"/>
      <c r="R328" s="169"/>
      <c r="S328" s="169"/>
      <c r="T328" s="169"/>
      <c r="U328" s="169"/>
      <c r="V328" s="169"/>
      <c r="W328" s="169"/>
      <c r="X328" s="169"/>
      <c r="Y328" s="169"/>
      <c r="Z328" s="169"/>
      <c r="AA328" s="169"/>
      <c r="AB328" s="169"/>
      <c r="AC328" s="169"/>
      <c r="AD328" s="169"/>
      <c r="AE328" s="169"/>
      <c r="AF328" s="169"/>
      <c r="AG328" s="169"/>
      <c r="AH328" s="169"/>
      <c r="AI328" s="169"/>
      <c r="AJ328" s="169"/>
      <c r="AK328" s="169"/>
      <c r="AL328" s="169"/>
      <c r="AM328" s="169"/>
      <c r="AN328" s="169"/>
      <c r="AO328" s="169"/>
      <c r="AP328" s="169"/>
    </row>
    <row r="329" spans="5:42" x14ac:dyDescent="0.2">
      <c r="E329" s="169"/>
      <c r="F329" s="169"/>
      <c r="G329" s="169"/>
      <c r="H329" s="169"/>
      <c r="I329" s="169"/>
      <c r="J329" s="169"/>
      <c r="K329" s="169"/>
      <c r="L329" s="169"/>
      <c r="M329" s="169"/>
      <c r="N329" s="169"/>
      <c r="O329" s="169"/>
      <c r="P329" s="169"/>
      <c r="Q329" s="169"/>
      <c r="R329" s="169"/>
      <c r="S329" s="169"/>
      <c r="T329" s="169"/>
      <c r="U329" s="169"/>
      <c r="V329" s="169"/>
      <c r="W329" s="169"/>
      <c r="X329" s="169"/>
      <c r="Y329" s="169"/>
      <c r="Z329" s="169"/>
      <c r="AA329" s="169"/>
      <c r="AB329" s="169"/>
      <c r="AC329" s="169"/>
      <c r="AD329" s="169"/>
      <c r="AE329" s="169"/>
      <c r="AF329" s="169"/>
      <c r="AG329" s="169"/>
      <c r="AH329" s="169"/>
      <c r="AI329" s="169"/>
      <c r="AJ329" s="169"/>
      <c r="AK329" s="169"/>
      <c r="AL329" s="169"/>
      <c r="AM329" s="169"/>
      <c r="AN329" s="169"/>
      <c r="AO329" s="169"/>
      <c r="AP329" s="169"/>
    </row>
    <row r="330" spans="5:42" x14ac:dyDescent="0.2">
      <c r="E330" s="169"/>
      <c r="F330" s="169"/>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c r="AI330" s="169"/>
      <c r="AJ330" s="169"/>
      <c r="AK330" s="169"/>
      <c r="AL330" s="169"/>
      <c r="AM330" s="169"/>
      <c r="AN330" s="169"/>
      <c r="AO330" s="169"/>
      <c r="AP330" s="169"/>
    </row>
    <row r="331" spans="5:42" x14ac:dyDescent="0.2">
      <c r="E331" s="169"/>
      <c r="F331" s="169"/>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c r="AI331" s="169"/>
      <c r="AJ331" s="169"/>
      <c r="AK331" s="169"/>
      <c r="AL331" s="169"/>
      <c r="AM331" s="169"/>
      <c r="AN331" s="169"/>
      <c r="AO331" s="169"/>
      <c r="AP331" s="169"/>
    </row>
    <row r="332" spans="5:42" x14ac:dyDescent="0.2">
      <c r="E332" s="169"/>
      <c r="F332" s="16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c r="AI332" s="169"/>
      <c r="AJ332" s="169"/>
      <c r="AK332" s="169"/>
      <c r="AL332" s="169"/>
      <c r="AM332" s="169"/>
      <c r="AN332" s="169"/>
      <c r="AO332" s="169"/>
      <c r="AP332" s="169"/>
    </row>
    <row r="333" spans="5:42" x14ac:dyDescent="0.2">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c r="AA333" s="169"/>
      <c r="AB333" s="169"/>
      <c r="AC333" s="169"/>
      <c r="AD333" s="169"/>
      <c r="AE333" s="169"/>
      <c r="AF333" s="169"/>
      <c r="AG333" s="169"/>
      <c r="AH333" s="169"/>
      <c r="AI333" s="169"/>
      <c r="AJ333" s="169"/>
      <c r="AK333" s="169"/>
      <c r="AL333" s="169"/>
      <c r="AM333" s="169"/>
      <c r="AN333" s="169"/>
      <c r="AO333" s="169"/>
      <c r="AP333" s="169"/>
    </row>
    <row r="334" spans="5:42" x14ac:dyDescent="0.2">
      <c r="E334" s="169"/>
      <c r="F334" s="169"/>
      <c r="G334" s="169"/>
      <c r="H334" s="169"/>
      <c r="I334" s="169"/>
      <c r="J334" s="169"/>
      <c r="K334" s="169"/>
      <c r="L334" s="169"/>
      <c r="M334" s="169"/>
      <c r="N334" s="169"/>
      <c r="O334" s="169"/>
      <c r="P334" s="169"/>
      <c r="Q334" s="169"/>
      <c r="R334" s="169"/>
      <c r="S334" s="169"/>
      <c r="T334" s="169"/>
      <c r="U334" s="169"/>
      <c r="V334" s="169"/>
      <c r="W334" s="169"/>
      <c r="X334" s="169"/>
      <c r="Y334" s="169"/>
      <c r="Z334" s="169"/>
      <c r="AA334" s="169"/>
      <c r="AB334" s="169"/>
      <c r="AC334" s="169"/>
      <c r="AD334" s="169"/>
      <c r="AE334" s="169"/>
      <c r="AF334" s="169"/>
      <c r="AG334" s="169"/>
      <c r="AH334" s="169"/>
      <c r="AI334" s="169"/>
      <c r="AJ334" s="169"/>
      <c r="AK334" s="169"/>
      <c r="AL334" s="169"/>
      <c r="AM334" s="169"/>
      <c r="AN334" s="169"/>
      <c r="AO334" s="169"/>
      <c r="AP334" s="169"/>
    </row>
    <row r="335" spans="5:42" x14ac:dyDescent="0.2">
      <c r="E335" s="169"/>
      <c r="F335" s="169"/>
      <c r="G335" s="169"/>
      <c r="H335" s="169"/>
      <c r="I335" s="169"/>
      <c r="J335" s="169"/>
      <c r="K335" s="169"/>
      <c r="L335" s="169"/>
      <c r="M335" s="169"/>
      <c r="N335" s="169"/>
      <c r="O335" s="169"/>
      <c r="P335" s="169"/>
      <c r="Q335" s="169"/>
      <c r="R335" s="169"/>
      <c r="S335" s="169"/>
      <c r="T335" s="169"/>
      <c r="U335" s="169"/>
      <c r="V335" s="169"/>
      <c r="W335" s="169"/>
      <c r="X335" s="169"/>
      <c r="Y335" s="169"/>
      <c r="Z335" s="169"/>
      <c r="AA335" s="169"/>
      <c r="AB335" s="169"/>
      <c r="AC335" s="169"/>
      <c r="AD335" s="169"/>
      <c r="AE335" s="169"/>
      <c r="AF335" s="169"/>
      <c r="AG335" s="169"/>
      <c r="AH335" s="169"/>
      <c r="AI335" s="169"/>
      <c r="AJ335" s="169"/>
      <c r="AK335" s="169"/>
      <c r="AL335" s="169"/>
      <c r="AM335" s="169"/>
      <c r="AN335" s="169"/>
      <c r="AO335" s="169"/>
      <c r="AP335" s="169"/>
    </row>
    <row r="336" spans="5:42" x14ac:dyDescent="0.2">
      <c r="E336" s="169"/>
      <c r="F336" s="169"/>
      <c r="G336" s="169"/>
      <c r="H336" s="169"/>
      <c r="I336" s="169"/>
      <c r="J336" s="169"/>
      <c r="K336" s="169"/>
      <c r="L336" s="169"/>
      <c r="M336" s="169"/>
      <c r="N336" s="169"/>
      <c r="O336" s="169"/>
      <c r="P336" s="169"/>
      <c r="Q336" s="169"/>
      <c r="R336" s="169"/>
      <c r="S336" s="169"/>
      <c r="T336" s="169"/>
      <c r="U336" s="169"/>
      <c r="V336" s="169"/>
      <c r="W336" s="169"/>
      <c r="X336" s="169"/>
      <c r="Y336" s="169"/>
      <c r="Z336" s="169"/>
      <c r="AA336" s="169"/>
      <c r="AB336" s="169"/>
      <c r="AC336" s="169"/>
      <c r="AD336" s="169"/>
      <c r="AE336" s="169"/>
      <c r="AF336" s="169"/>
      <c r="AG336" s="169"/>
      <c r="AH336" s="169"/>
      <c r="AI336" s="169"/>
      <c r="AJ336" s="169"/>
      <c r="AK336" s="169"/>
      <c r="AL336" s="169"/>
      <c r="AM336" s="169"/>
      <c r="AN336" s="169"/>
      <c r="AO336" s="169"/>
      <c r="AP336" s="169"/>
    </row>
    <row r="337" spans="5:42" x14ac:dyDescent="0.2">
      <c r="E337" s="169"/>
      <c r="F337" s="169"/>
      <c r="G337" s="169"/>
      <c r="H337" s="169"/>
      <c r="I337" s="169"/>
      <c r="J337" s="169"/>
      <c r="K337" s="169"/>
      <c r="L337" s="169"/>
      <c r="M337" s="169"/>
      <c r="N337" s="169"/>
      <c r="O337" s="169"/>
      <c r="P337" s="169"/>
      <c r="Q337" s="169"/>
      <c r="R337" s="169"/>
      <c r="S337" s="169"/>
      <c r="T337" s="169"/>
      <c r="U337" s="169"/>
      <c r="V337" s="169"/>
      <c r="W337" s="169"/>
      <c r="X337" s="169"/>
      <c r="Y337" s="169"/>
      <c r="Z337" s="169"/>
      <c r="AA337" s="169"/>
      <c r="AB337" s="169"/>
      <c r="AC337" s="169"/>
      <c r="AD337" s="169"/>
      <c r="AE337" s="169"/>
      <c r="AF337" s="169"/>
      <c r="AG337" s="169"/>
      <c r="AH337" s="169"/>
      <c r="AI337" s="169"/>
      <c r="AJ337" s="169"/>
      <c r="AK337" s="169"/>
      <c r="AL337" s="169"/>
      <c r="AM337" s="169"/>
      <c r="AN337" s="169"/>
      <c r="AO337" s="169"/>
      <c r="AP337" s="169"/>
    </row>
    <row r="338" spans="5:42" x14ac:dyDescent="0.2">
      <c r="E338" s="169"/>
      <c r="F338" s="169"/>
      <c r="G338" s="169"/>
      <c r="H338" s="169"/>
      <c r="I338" s="169"/>
      <c r="J338" s="169"/>
      <c r="K338" s="169"/>
      <c r="L338" s="169"/>
      <c r="M338" s="169"/>
      <c r="N338" s="169"/>
      <c r="O338" s="169"/>
      <c r="P338" s="169"/>
      <c r="Q338" s="169"/>
      <c r="R338" s="169"/>
      <c r="S338" s="169"/>
      <c r="T338" s="169"/>
      <c r="U338" s="169"/>
      <c r="V338" s="169"/>
      <c r="W338" s="169"/>
      <c r="X338" s="169"/>
      <c r="Y338" s="169"/>
      <c r="Z338" s="169"/>
      <c r="AA338" s="169"/>
      <c r="AB338" s="169"/>
      <c r="AC338" s="169"/>
      <c r="AD338" s="169"/>
      <c r="AE338" s="169"/>
      <c r="AF338" s="169"/>
      <c r="AG338" s="169"/>
      <c r="AH338" s="169"/>
      <c r="AI338" s="169"/>
      <c r="AJ338" s="169"/>
      <c r="AK338" s="169"/>
      <c r="AL338" s="169"/>
      <c r="AM338" s="169"/>
      <c r="AN338" s="169"/>
      <c r="AO338" s="169"/>
      <c r="AP338" s="169"/>
    </row>
    <row r="339" spans="5:42" x14ac:dyDescent="0.2">
      <c r="E339" s="169"/>
      <c r="F339" s="169"/>
      <c r="G339" s="169"/>
      <c r="H339" s="169"/>
      <c r="I339" s="169"/>
      <c r="J339" s="169"/>
      <c r="K339" s="169"/>
      <c r="L339" s="169"/>
      <c r="M339" s="169"/>
      <c r="N339" s="169"/>
      <c r="O339" s="169"/>
      <c r="P339" s="169"/>
      <c r="Q339" s="169"/>
      <c r="R339" s="169"/>
      <c r="S339" s="169"/>
      <c r="T339" s="169"/>
      <c r="U339" s="169"/>
      <c r="V339" s="169"/>
      <c r="W339" s="169"/>
      <c r="X339" s="169"/>
      <c r="Y339" s="169"/>
      <c r="Z339" s="169"/>
      <c r="AA339" s="169"/>
      <c r="AB339" s="169"/>
      <c r="AC339" s="169"/>
      <c r="AD339" s="169"/>
      <c r="AE339" s="169"/>
      <c r="AF339" s="169"/>
      <c r="AG339" s="169"/>
      <c r="AH339" s="169"/>
      <c r="AI339" s="169"/>
      <c r="AJ339" s="169"/>
      <c r="AK339" s="169"/>
      <c r="AL339" s="169"/>
      <c r="AM339" s="169"/>
      <c r="AN339" s="169"/>
      <c r="AO339" s="169"/>
      <c r="AP339" s="169"/>
    </row>
    <row r="340" spans="5:42" x14ac:dyDescent="0.2">
      <c r="E340" s="169"/>
      <c r="F340" s="169"/>
      <c r="G340" s="169"/>
      <c r="H340" s="169"/>
      <c r="I340" s="169"/>
      <c r="J340" s="169"/>
      <c r="K340" s="169"/>
      <c r="L340" s="169"/>
      <c r="M340" s="169"/>
      <c r="N340" s="169"/>
      <c r="O340" s="169"/>
      <c r="P340" s="169"/>
      <c r="Q340" s="169"/>
      <c r="R340" s="169"/>
      <c r="S340" s="169"/>
      <c r="T340" s="169"/>
      <c r="U340" s="169"/>
      <c r="V340" s="169"/>
      <c r="W340" s="169"/>
      <c r="X340" s="169"/>
      <c r="Y340" s="169"/>
      <c r="Z340" s="169"/>
      <c r="AA340" s="169"/>
      <c r="AB340" s="169"/>
      <c r="AC340" s="169"/>
      <c r="AD340" s="169"/>
      <c r="AE340" s="169"/>
      <c r="AF340" s="169"/>
      <c r="AG340" s="169"/>
      <c r="AH340" s="169"/>
      <c r="AI340" s="169"/>
      <c r="AJ340" s="169"/>
      <c r="AK340" s="169"/>
      <c r="AL340" s="169"/>
      <c r="AM340" s="169"/>
      <c r="AN340" s="169"/>
      <c r="AO340" s="169"/>
      <c r="AP340" s="169"/>
    </row>
    <row r="341" spans="5:42" x14ac:dyDescent="0.2">
      <c r="E341" s="169"/>
      <c r="F341" s="169"/>
      <c r="G341" s="169"/>
      <c r="H341" s="169"/>
      <c r="I341" s="169"/>
      <c r="J341" s="169"/>
      <c r="K341" s="169"/>
      <c r="L341" s="169"/>
      <c r="M341" s="169"/>
      <c r="N341" s="169"/>
      <c r="O341" s="169"/>
      <c r="P341" s="169"/>
      <c r="Q341" s="169"/>
      <c r="R341" s="169"/>
      <c r="S341" s="169"/>
      <c r="T341" s="169"/>
      <c r="U341" s="169"/>
      <c r="V341" s="169"/>
      <c r="W341" s="169"/>
      <c r="X341" s="169"/>
      <c r="Y341" s="169"/>
      <c r="Z341" s="169"/>
      <c r="AA341" s="169"/>
      <c r="AB341" s="169"/>
      <c r="AC341" s="169"/>
      <c r="AD341" s="169"/>
      <c r="AE341" s="169"/>
      <c r="AF341" s="169"/>
      <c r="AG341" s="169"/>
      <c r="AH341" s="169"/>
      <c r="AI341" s="169"/>
      <c r="AJ341" s="169"/>
      <c r="AK341" s="169"/>
      <c r="AL341" s="169"/>
      <c r="AM341" s="169"/>
      <c r="AN341" s="169"/>
      <c r="AO341" s="169"/>
      <c r="AP341" s="169"/>
    </row>
    <row r="342" spans="5:42" x14ac:dyDescent="0.2">
      <c r="E342" s="169"/>
      <c r="F342" s="169"/>
      <c r="G342" s="169"/>
      <c r="H342" s="169"/>
      <c r="I342" s="169"/>
      <c r="J342" s="169"/>
      <c r="K342" s="169"/>
      <c r="L342" s="169"/>
      <c r="M342" s="169"/>
      <c r="N342" s="169"/>
      <c r="O342" s="169"/>
      <c r="P342" s="169"/>
      <c r="Q342" s="169"/>
      <c r="R342" s="169"/>
      <c r="S342" s="169"/>
      <c r="T342" s="169"/>
      <c r="U342" s="169"/>
      <c r="V342" s="169"/>
      <c r="W342" s="169"/>
      <c r="X342" s="169"/>
      <c r="Y342" s="169"/>
      <c r="Z342" s="169"/>
      <c r="AA342" s="169"/>
      <c r="AB342" s="169"/>
      <c r="AC342" s="169"/>
      <c r="AD342" s="169"/>
      <c r="AE342" s="169"/>
      <c r="AF342" s="169"/>
      <c r="AG342" s="169"/>
      <c r="AH342" s="169"/>
      <c r="AI342" s="169"/>
      <c r="AJ342" s="169"/>
      <c r="AK342" s="169"/>
      <c r="AL342" s="169"/>
      <c r="AM342" s="169"/>
      <c r="AN342" s="169"/>
      <c r="AO342" s="169"/>
      <c r="AP342" s="169"/>
    </row>
    <row r="343" spans="5:42" x14ac:dyDescent="0.2">
      <c r="E343" s="169"/>
      <c r="F343" s="169"/>
      <c r="G343" s="169"/>
      <c r="H343" s="169"/>
      <c r="I343" s="169"/>
      <c r="J343" s="169"/>
      <c r="K343" s="169"/>
      <c r="L343" s="169"/>
      <c r="M343" s="169"/>
      <c r="N343" s="169"/>
      <c r="O343" s="169"/>
      <c r="P343" s="169"/>
      <c r="Q343" s="169"/>
      <c r="R343" s="169"/>
      <c r="S343" s="169"/>
      <c r="T343" s="169"/>
      <c r="U343" s="169"/>
      <c r="V343" s="169"/>
      <c r="W343" s="169"/>
      <c r="X343" s="169"/>
      <c r="Y343" s="169"/>
      <c r="Z343" s="169"/>
      <c r="AA343" s="169"/>
      <c r="AB343" s="169"/>
      <c r="AC343" s="169"/>
      <c r="AD343" s="169"/>
      <c r="AE343" s="169"/>
      <c r="AF343" s="169"/>
      <c r="AG343" s="169"/>
      <c r="AH343" s="169"/>
      <c r="AI343" s="169"/>
      <c r="AJ343" s="169"/>
      <c r="AK343" s="169"/>
      <c r="AL343" s="169"/>
      <c r="AM343" s="169"/>
      <c r="AN343" s="169"/>
      <c r="AO343" s="169"/>
      <c r="AP343" s="169"/>
    </row>
    <row r="344" spans="5:42" x14ac:dyDescent="0.2">
      <c r="E344" s="169"/>
      <c r="F344" s="169"/>
      <c r="G344" s="169"/>
      <c r="H344" s="169"/>
      <c r="I344" s="169"/>
      <c r="J344" s="169"/>
      <c r="K344" s="169"/>
      <c r="L344" s="169"/>
      <c r="M344" s="169"/>
      <c r="N344" s="169"/>
      <c r="O344" s="169"/>
      <c r="P344" s="169"/>
      <c r="Q344" s="169"/>
      <c r="R344" s="169"/>
      <c r="S344" s="169"/>
      <c r="T344" s="169"/>
      <c r="U344" s="169"/>
      <c r="V344" s="169"/>
      <c r="W344" s="169"/>
      <c r="X344" s="169"/>
      <c r="Y344" s="169"/>
      <c r="Z344" s="169"/>
      <c r="AA344" s="169"/>
      <c r="AB344" s="169"/>
      <c r="AC344" s="169"/>
      <c r="AD344" s="169"/>
      <c r="AE344" s="169"/>
      <c r="AF344" s="169"/>
      <c r="AG344" s="169"/>
      <c r="AH344" s="169"/>
      <c r="AI344" s="169"/>
      <c r="AJ344" s="169"/>
      <c r="AK344" s="169"/>
      <c r="AL344" s="169"/>
      <c r="AM344" s="169"/>
      <c r="AN344" s="169"/>
      <c r="AO344" s="169"/>
      <c r="AP344" s="169"/>
    </row>
    <row r="345" spans="5:42" x14ac:dyDescent="0.2">
      <c r="E345" s="169"/>
      <c r="F345" s="169"/>
      <c r="G345" s="169"/>
      <c r="H345" s="169"/>
      <c r="I345" s="169"/>
      <c r="J345" s="169"/>
      <c r="K345" s="169"/>
      <c r="L345" s="169"/>
      <c r="M345" s="169"/>
      <c r="N345" s="169"/>
      <c r="O345" s="169"/>
      <c r="P345" s="169"/>
      <c r="Q345" s="169"/>
      <c r="R345" s="169"/>
      <c r="S345" s="169"/>
      <c r="T345" s="169"/>
      <c r="U345" s="169"/>
      <c r="V345" s="169"/>
      <c r="W345" s="169"/>
      <c r="X345" s="169"/>
      <c r="Y345" s="169"/>
      <c r="Z345" s="169"/>
      <c r="AA345" s="169"/>
      <c r="AB345" s="169"/>
      <c r="AC345" s="169"/>
      <c r="AD345" s="169"/>
      <c r="AE345" s="169"/>
      <c r="AF345" s="169"/>
      <c r="AG345" s="169"/>
      <c r="AH345" s="169"/>
      <c r="AI345" s="169"/>
      <c r="AJ345" s="169"/>
      <c r="AK345" s="169"/>
      <c r="AL345" s="169"/>
      <c r="AM345" s="169"/>
      <c r="AN345" s="169"/>
      <c r="AO345" s="169"/>
      <c r="AP345" s="169"/>
    </row>
    <row r="346" spans="5:42" x14ac:dyDescent="0.2">
      <c r="E346" s="169"/>
      <c r="F346" s="169"/>
      <c r="G346" s="169"/>
      <c r="H346" s="169"/>
      <c r="I346" s="169"/>
      <c r="J346" s="169"/>
      <c r="K346" s="169"/>
      <c r="L346" s="169"/>
      <c r="M346" s="169"/>
      <c r="N346" s="169"/>
      <c r="O346" s="169"/>
      <c r="P346" s="169"/>
      <c r="Q346" s="169"/>
      <c r="R346" s="169"/>
      <c r="S346" s="169"/>
      <c r="T346" s="169"/>
      <c r="U346" s="169"/>
      <c r="V346" s="169"/>
      <c r="W346" s="169"/>
      <c r="X346" s="169"/>
      <c r="Y346" s="169"/>
      <c r="Z346" s="169"/>
      <c r="AA346" s="169"/>
      <c r="AB346" s="169"/>
      <c r="AC346" s="169"/>
      <c r="AD346" s="169"/>
      <c r="AE346" s="169"/>
      <c r="AF346" s="169"/>
      <c r="AG346" s="169"/>
      <c r="AH346" s="169"/>
      <c r="AI346" s="169"/>
      <c r="AJ346" s="169"/>
      <c r="AK346" s="169"/>
      <c r="AL346" s="169"/>
      <c r="AM346" s="169"/>
      <c r="AN346" s="169"/>
      <c r="AO346" s="169"/>
      <c r="AP346" s="169"/>
    </row>
    <row r="347" spans="5:42" x14ac:dyDescent="0.2">
      <c r="E347" s="169"/>
      <c r="F347" s="169"/>
      <c r="G347" s="169"/>
      <c r="H347" s="169"/>
      <c r="I347" s="169"/>
      <c r="J347" s="169"/>
      <c r="K347" s="169"/>
      <c r="L347" s="169"/>
      <c r="M347" s="169"/>
      <c r="N347" s="169"/>
      <c r="O347" s="169"/>
      <c r="P347" s="169"/>
      <c r="Q347" s="169"/>
      <c r="R347" s="169"/>
      <c r="S347" s="169"/>
      <c r="T347" s="169"/>
      <c r="U347" s="169"/>
      <c r="V347" s="169"/>
      <c r="W347" s="169"/>
      <c r="X347" s="169"/>
      <c r="Y347" s="169"/>
      <c r="Z347" s="169"/>
      <c r="AA347" s="169"/>
      <c r="AB347" s="169"/>
      <c r="AC347" s="169"/>
      <c r="AD347" s="169"/>
      <c r="AE347" s="169"/>
      <c r="AF347" s="169"/>
      <c r="AG347" s="169"/>
      <c r="AH347" s="169"/>
      <c r="AI347" s="169"/>
      <c r="AJ347" s="169"/>
      <c r="AK347" s="169"/>
      <c r="AL347" s="169"/>
      <c r="AM347" s="169"/>
      <c r="AN347" s="169"/>
      <c r="AO347" s="169"/>
      <c r="AP347" s="169"/>
    </row>
    <row r="348" spans="5:42" x14ac:dyDescent="0.2">
      <c r="E348" s="169"/>
      <c r="F348" s="169"/>
      <c r="G348" s="169"/>
      <c r="H348" s="169"/>
      <c r="I348" s="169"/>
      <c r="J348" s="169"/>
      <c r="K348" s="169"/>
      <c r="L348" s="169"/>
      <c r="M348" s="169"/>
      <c r="N348" s="169"/>
      <c r="O348" s="169"/>
      <c r="P348" s="169"/>
      <c r="Q348" s="169"/>
      <c r="R348" s="169"/>
      <c r="S348" s="169"/>
      <c r="T348" s="169"/>
      <c r="U348" s="169"/>
      <c r="V348" s="169"/>
      <c r="W348" s="169"/>
      <c r="X348" s="169"/>
      <c r="Y348" s="169"/>
      <c r="Z348" s="169"/>
      <c r="AA348" s="169"/>
      <c r="AB348" s="169"/>
      <c r="AC348" s="169"/>
      <c r="AD348" s="169"/>
      <c r="AE348" s="169"/>
      <c r="AF348" s="169"/>
      <c r="AG348" s="169"/>
      <c r="AH348" s="169"/>
      <c r="AI348" s="169"/>
      <c r="AJ348" s="169"/>
      <c r="AK348" s="169"/>
      <c r="AL348" s="169"/>
      <c r="AM348" s="169"/>
      <c r="AN348" s="169"/>
      <c r="AO348" s="169"/>
      <c r="AP348" s="169"/>
    </row>
    <row r="349" spans="5:42" x14ac:dyDescent="0.2">
      <c r="E349" s="169"/>
      <c r="F349" s="169"/>
      <c r="G349" s="169"/>
      <c r="H349" s="169"/>
      <c r="I349" s="169"/>
      <c r="J349" s="169"/>
      <c r="K349" s="169"/>
      <c r="L349" s="169"/>
      <c r="M349" s="169"/>
      <c r="N349" s="169"/>
      <c r="O349" s="169"/>
      <c r="P349" s="169"/>
      <c r="Q349" s="169"/>
      <c r="R349" s="169"/>
      <c r="S349" s="169"/>
      <c r="T349" s="169"/>
      <c r="U349" s="169"/>
      <c r="V349" s="169"/>
      <c r="W349" s="169"/>
      <c r="X349" s="169"/>
      <c r="Y349" s="169"/>
      <c r="Z349" s="169"/>
      <c r="AA349" s="169"/>
      <c r="AB349" s="169"/>
      <c r="AC349" s="169"/>
      <c r="AD349" s="169"/>
      <c r="AE349" s="169"/>
      <c r="AF349" s="169"/>
      <c r="AG349" s="169"/>
      <c r="AH349" s="169"/>
      <c r="AI349" s="169"/>
      <c r="AJ349" s="169"/>
      <c r="AK349" s="169"/>
      <c r="AL349" s="169"/>
      <c r="AM349" s="169"/>
      <c r="AN349" s="169"/>
      <c r="AO349" s="169"/>
      <c r="AP349" s="169"/>
    </row>
    <row r="350" spans="5:42" x14ac:dyDescent="0.2">
      <c r="E350" s="169"/>
      <c r="F350" s="169"/>
      <c r="G350" s="169"/>
      <c r="H350" s="169"/>
      <c r="I350" s="169"/>
      <c r="J350" s="169"/>
      <c r="K350" s="169"/>
      <c r="L350" s="169"/>
      <c r="M350" s="169"/>
      <c r="N350" s="169"/>
      <c r="O350" s="169"/>
      <c r="P350" s="169"/>
      <c r="Q350" s="169"/>
      <c r="R350" s="169"/>
      <c r="S350" s="169"/>
      <c r="T350" s="169"/>
      <c r="U350" s="169"/>
      <c r="V350" s="169"/>
      <c r="W350" s="169"/>
      <c r="X350" s="169"/>
      <c r="Y350" s="169"/>
      <c r="Z350" s="169"/>
      <c r="AA350" s="169"/>
      <c r="AB350" s="169"/>
      <c r="AC350" s="169"/>
      <c r="AD350" s="169"/>
      <c r="AE350" s="169"/>
      <c r="AF350" s="169"/>
      <c r="AG350" s="169"/>
      <c r="AH350" s="169"/>
      <c r="AI350" s="169"/>
      <c r="AJ350" s="169"/>
      <c r="AK350" s="169"/>
      <c r="AL350" s="169"/>
      <c r="AM350" s="169"/>
      <c r="AN350" s="169"/>
      <c r="AO350" s="169"/>
      <c r="AP350" s="169"/>
    </row>
    <row r="351" spans="5:42" x14ac:dyDescent="0.2">
      <c r="E351" s="169"/>
      <c r="F351" s="169"/>
      <c r="G351" s="169"/>
      <c r="H351" s="169"/>
      <c r="I351" s="169"/>
      <c r="J351" s="169"/>
      <c r="K351" s="169"/>
      <c r="L351" s="169"/>
      <c r="M351" s="169"/>
      <c r="N351" s="169"/>
      <c r="O351" s="169"/>
      <c r="P351" s="169"/>
      <c r="Q351" s="169"/>
      <c r="R351" s="169"/>
      <c r="S351" s="169"/>
      <c r="T351" s="169"/>
      <c r="U351" s="169"/>
      <c r="V351" s="169"/>
      <c r="W351" s="169"/>
      <c r="X351" s="169"/>
      <c r="Y351" s="169"/>
      <c r="Z351" s="169"/>
      <c r="AA351" s="169"/>
      <c r="AB351" s="169"/>
      <c r="AC351" s="169"/>
      <c r="AD351" s="169"/>
      <c r="AE351" s="169"/>
      <c r="AF351" s="169"/>
      <c r="AG351" s="169"/>
      <c r="AH351" s="169"/>
      <c r="AI351" s="169"/>
      <c r="AJ351" s="169"/>
      <c r="AK351" s="169"/>
      <c r="AL351" s="169"/>
      <c r="AM351" s="169"/>
      <c r="AN351" s="169"/>
      <c r="AO351" s="169"/>
      <c r="AP351" s="169"/>
    </row>
    <row r="352" spans="5:42" x14ac:dyDescent="0.2">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c r="AA352" s="169"/>
      <c r="AB352" s="169"/>
      <c r="AC352" s="169"/>
      <c r="AD352" s="169"/>
      <c r="AE352" s="169"/>
      <c r="AF352" s="169"/>
      <c r="AG352" s="169"/>
      <c r="AH352" s="169"/>
      <c r="AI352" s="169"/>
      <c r="AJ352" s="169"/>
      <c r="AK352" s="169"/>
      <c r="AL352" s="169"/>
      <c r="AM352" s="169"/>
      <c r="AN352" s="169"/>
      <c r="AO352" s="169"/>
      <c r="AP352" s="169"/>
    </row>
    <row r="353" spans="5:42" x14ac:dyDescent="0.2">
      <c r="E353" s="169"/>
      <c r="F353" s="169"/>
      <c r="G353" s="169"/>
      <c r="H353" s="169"/>
      <c r="I353" s="169"/>
      <c r="J353" s="169"/>
      <c r="K353" s="169"/>
      <c r="L353" s="169"/>
      <c r="M353" s="169"/>
      <c r="N353" s="169"/>
      <c r="O353" s="169"/>
      <c r="P353" s="169"/>
      <c r="Q353" s="169"/>
      <c r="R353" s="169"/>
      <c r="S353" s="169"/>
      <c r="T353" s="169"/>
      <c r="U353" s="169"/>
      <c r="V353" s="169"/>
      <c r="W353" s="169"/>
      <c r="X353" s="169"/>
      <c r="Y353" s="169"/>
      <c r="Z353" s="169"/>
      <c r="AA353" s="169"/>
      <c r="AB353" s="169"/>
      <c r="AC353" s="169"/>
      <c r="AD353" s="169"/>
      <c r="AE353" s="169"/>
      <c r="AF353" s="169"/>
      <c r="AG353" s="169"/>
      <c r="AH353" s="169"/>
      <c r="AI353" s="169"/>
      <c r="AJ353" s="169"/>
      <c r="AK353" s="169"/>
      <c r="AL353" s="169"/>
      <c r="AM353" s="169"/>
      <c r="AN353" s="169"/>
      <c r="AO353" s="169"/>
      <c r="AP353" s="169"/>
    </row>
    <row r="354" spans="5:42" x14ac:dyDescent="0.2">
      <c r="E354" s="169"/>
      <c r="F354" s="169"/>
      <c r="G354" s="169"/>
      <c r="H354" s="169"/>
      <c r="I354" s="169"/>
      <c r="J354" s="169"/>
      <c r="K354" s="169"/>
      <c r="L354" s="169"/>
      <c r="M354" s="169"/>
      <c r="N354" s="169"/>
      <c r="O354" s="169"/>
      <c r="P354" s="169"/>
      <c r="Q354" s="169"/>
      <c r="R354" s="169"/>
      <c r="S354" s="169"/>
      <c r="T354" s="169"/>
      <c r="U354" s="169"/>
      <c r="V354" s="169"/>
      <c r="W354" s="169"/>
      <c r="X354" s="169"/>
      <c r="Y354" s="169"/>
      <c r="Z354" s="169"/>
      <c r="AA354" s="169"/>
      <c r="AB354" s="169"/>
      <c r="AC354" s="169"/>
      <c r="AD354" s="169"/>
      <c r="AE354" s="169"/>
      <c r="AF354" s="169"/>
      <c r="AG354" s="169"/>
      <c r="AH354" s="169"/>
      <c r="AI354" s="169"/>
      <c r="AJ354" s="169"/>
      <c r="AK354" s="169"/>
      <c r="AL354" s="169"/>
      <c r="AM354" s="169"/>
      <c r="AN354" s="169"/>
      <c r="AO354" s="169"/>
      <c r="AP354" s="169"/>
    </row>
    <row r="355" spans="5:42" x14ac:dyDescent="0.2">
      <c r="E355" s="169"/>
      <c r="F355" s="169"/>
      <c r="G355" s="169"/>
      <c r="H355" s="169"/>
      <c r="I355" s="169"/>
      <c r="J355" s="169"/>
      <c r="K355" s="169"/>
      <c r="L355" s="169"/>
      <c r="M355" s="169"/>
      <c r="N355" s="169"/>
      <c r="O355" s="169"/>
      <c r="P355" s="169"/>
      <c r="Q355" s="169"/>
      <c r="R355" s="169"/>
      <c r="S355" s="169"/>
      <c r="T355" s="169"/>
      <c r="U355" s="169"/>
      <c r="V355" s="169"/>
      <c r="W355" s="169"/>
      <c r="X355" s="169"/>
      <c r="Y355" s="169"/>
      <c r="Z355" s="169"/>
      <c r="AA355" s="169"/>
      <c r="AB355" s="169"/>
      <c r="AC355" s="169"/>
      <c r="AD355" s="169"/>
      <c r="AE355" s="169"/>
      <c r="AF355" s="169"/>
      <c r="AG355" s="169"/>
      <c r="AH355" s="169"/>
      <c r="AI355" s="169"/>
      <c r="AJ355" s="169"/>
      <c r="AK355" s="169"/>
      <c r="AL355" s="169"/>
      <c r="AM355" s="169"/>
      <c r="AN355" s="169"/>
      <c r="AO355" s="169"/>
      <c r="AP355" s="169"/>
    </row>
    <row r="356" spans="5:42" x14ac:dyDescent="0.2">
      <c r="E356" s="169"/>
      <c r="F356" s="169"/>
      <c r="G356" s="169"/>
      <c r="H356" s="169"/>
      <c r="I356" s="169"/>
      <c r="J356" s="169"/>
      <c r="K356" s="169"/>
      <c r="L356" s="169"/>
      <c r="M356" s="169"/>
      <c r="N356" s="169"/>
      <c r="O356" s="169"/>
      <c r="P356" s="169"/>
      <c r="Q356" s="169"/>
      <c r="R356" s="169"/>
      <c r="S356" s="169"/>
      <c r="T356" s="169"/>
      <c r="U356" s="169"/>
      <c r="V356" s="169"/>
      <c r="W356" s="169"/>
      <c r="X356" s="169"/>
      <c r="Y356" s="169"/>
      <c r="Z356" s="169"/>
      <c r="AA356" s="169"/>
      <c r="AB356" s="169"/>
      <c r="AC356" s="169"/>
      <c r="AD356" s="169"/>
      <c r="AE356" s="169"/>
      <c r="AF356" s="169"/>
      <c r="AG356" s="169"/>
      <c r="AH356" s="169"/>
      <c r="AI356" s="169"/>
      <c r="AJ356" s="169"/>
      <c r="AK356" s="169"/>
      <c r="AL356" s="169"/>
      <c r="AM356" s="169"/>
      <c r="AN356" s="169"/>
      <c r="AO356" s="169"/>
      <c r="AP356" s="169"/>
    </row>
    <row r="357" spans="5:42" x14ac:dyDescent="0.2">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69"/>
      <c r="AI357" s="169"/>
      <c r="AJ357" s="169"/>
      <c r="AK357" s="169"/>
      <c r="AL357" s="169"/>
      <c r="AM357" s="169"/>
      <c r="AN357" s="169"/>
      <c r="AO357" s="169"/>
      <c r="AP357" s="169"/>
    </row>
    <row r="358" spans="5:42" x14ac:dyDescent="0.2">
      <c r="E358" s="169"/>
      <c r="F358" s="169"/>
      <c r="G358" s="169"/>
      <c r="H358" s="169"/>
      <c r="I358" s="169"/>
      <c r="J358" s="169"/>
      <c r="K358" s="169"/>
      <c r="L358" s="169"/>
      <c r="M358" s="169"/>
      <c r="N358" s="169"/>
      <c r="O358" s="169"/>
      <c r="P358" s="169"/>
      <c r="Q358" s="169"/>
      <c r="R358" s="169"/>
      <c r="S358" s="169"/>
      <c r="T358" s="169"/>
      <c r="U358" s="169"/>
      <c r="V358" s="169"/>
      <c r="W358" s="169"/>
      <c r="X358" s="169"/>
      <c r="Y358" s="169"/>
      <c r="Z358" s="169"/>
      <c r="AA358" s="169"/>
      <c r="AB358" s="169"/>
      <c r="AC358" s="169"/>
      <c r="AD358" s="169"/>
      <c r="AE358" s="169"/>
      <c r="AF358" s="169"/>
      <c r="AG358" s="169"/>
      <c r="AH358" s="169"/>
      <c r="AI358" s="169"/>
      <c r="AJ358" s="169"/>
      <c r="AK358" s="169"/>
      <c r="AL358" s="169"/>
      <c r="AM358" s="169"/>
      <c r="AN358" s="169"/>
      <c r="AO358" s="169"/>
      <c r="AP358" s="169"/>
    </row>
    <row r="359" spans="5:42" x14ac:dyDescent="0.2">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c r="AA359" s="169"/>
      <c r="AB359" s="169"/>
      <c r="AC359" s="169"/>
      <c r="AD359" s="169"/>
      <c r="AE359" s="169"/>
      <c r="AF359" s="169"/>
      <c r="AG359" s="169"/>
      <c r="AH359" s="169"/>
      <c r="AI359" s="169"/>
      <c r="AJ359" s="169"/>
      <c r="AK359" s="169"/>
      <c r="AL359" s="169"/>
      <c r="AM359" s="169"/>
      <c r="AN359" s="169"/>
      <c r="AO359" s="169"/>
      <c r="AP359" s="169"/>
    </row>
    <row r="360" spans="5:42" x14ac:dyDescent="0.2">
      <c r="E360" s="169"/>
      <c r="F360" s="169"/>
      <c r="G360" s="169"/>
      <c r="H360" s="169"/>
      <c r="I360" s="169"/>
      <c r="J360" s="169"/>
      <c r="K360" s="169"/>
      <c r="L360" s="169"/>
      <c r="M360" s="169"/>
      <c r="N360" s="169"/>
      <c r="O360" s="169"/>
      <c r="P360" s="169"/>
      <c r="Q360" s="169"/>
      <c r="R360" s="169"/>
      <c r="S360" s="169"/>
      <c r="T360" s="169"/>
      <c r="U360" s="169"/>
      <c r="V360" s="169"/>
      <c r="W360" s="169"/>
      <c r="X360" s="169"/>
      <c r="Y360" s="169"/>
      <c r="Z360" s="169"/>
      <c r="AA360" s="169"/>
      <c r="AB360" s="169"/>
      <c r="AC360" s="169"/>
      <c r="AD360" s="169"/>
      <c r="AE360" s="169"/>
      <c r="AF360" s="169"/>
      <c r="AG360" s="169"/>
      <c r="AH360" s="169"/>
      <c r="AI360" s="169"/>
      <c r="AJ360" s="169"/>
      <c r="AK360" s="169"/>
      <c r="AL360" s="169"/>
      <c r="AM360" s="169"/>
      <c r="AN360" s="169"/>
      <c r="AO360" s="169"/>
      <c r="AP360" s="169"/>
    </row>
    <row r="361" spans="5:42" x14ac:dyDescent="0.2">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c r="AA361" s="169"/>
      <c r="AB361" s="169"/>
      <c r="AC361" s="169"/>
      <c r="AD361" s="169"/>
      <c r="AE361" s="169"/>
      <c r="AF361" s="169"/>
      <c r="AG361" s="169"/>
      <c r="AH361" s="169"/>
      <c r="AI361" s="169"/>
      <c r="AJ361" s="169"/>
      <c r="AK361" s="169"/>
      <c r="AL361" s="169"/>
      <c r="AM361" s="169"/>
      <c r="AN361" s="169"/>
      <c r="AO361" s="169"/>
      <c r="AP361" s="169"/>
    </row>
    <row r="362" spans="5:42" x14ac:dyDescent="0.2">
      <c r="E362" s="169"/>
      <c r="F362" s="169"/>
      <c r="G362" s="169"/>
      <c r="H362" s="169"/>
      <c r="I362" s="169"/>
      <c r="J362" s="169"/>
      <c r="K362" s="169"/>
      <c r="L362" s="169"/>
      <c r="M362" s="169"/>
      <c r="N362" s="169"/>
      <c r="O362" s="169"/>
      <c r="P362" s="169"/>
      <c r="Q362" s="169"/>
      <c r="R362" s="169"/>
      <c r="S362" s="169"/>
      <c r="T362" s="169"/>
      <c r="U362" s="169"/>
      <c r="V362" s="169"/>
      <c r="W362" s="169"/>
      <c r="X362" s="169"/>
      <c r="Y362" s="169"/>
      <c r="Z362" s="169"/>
      <c r="AA362" s="169"/>
      <c r="AB362" s="169"/>
      <c r="AC362" s="169"/>
      <c r="AD362" s="169"/>
      <c r="AE362" s="169"/>
      <c r="AF362" s="169"/>
      <c r="AG362" s="169"/>
      <c r="AH362" s="169"/>
      <c r="AI362" s="169"/>
      <c r="AJ362" s="169"/>
      <c r="AK362" s="169"/>
      <c r="AL362" s="169"/>
      <c r="AM362" s="169"/>
      <c r="AN362" s="169"/>
      <c r="AO362" s="169"/>
      <c r="AP362" s="169"/>
    </row>
    <row r="363" spans="5:42" x14ac:dyDescent="0.2">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c r="AA363" s="169"/>
      <c r="AB363" s="169"/>
      <c r="AC363" s="169"/>
      <c r="AD363" s="169"/>
      <c r="AE363" s="169"/>
      <c r="AF363" s="169"/>
      <c r="AG363" s="169"/>
      <c r="AH363" s="169"/>
      <c r="AI363" s="169"/>
      <c r="AJ363" s="169"/>
      <c r="AK363" s="169"/>
      <c r="AL363" s="169"/>
      <c r="AM363" s="169"/>
      <c r="AN363" s="169"/>
      <c r="AO363" s="169"/>
      <c r="AP363" s="169"/>
    </row>
    <row r="364" spans="5:42" x14ac:dyDescent="0.2">
      <c r="E364" s="169"/>
      <c r="F364" s="169"/>
      <c r="G364" s="169"/>
      <c r="H364" s="169"/>
      <c r="I364" s="169"/>
      <c r="J364" s="169"/>
      <c r="K364" s="169"/>
      <c r="L364" s="169"/>
      <c r="M364" s="169"/>
      <c r="N364" s="169"/>
      <c r="O364" s="169"/>
      <c r="P364" s="169"/>
      <c r="Q364" s="169"/>
      <c r="R364" s="169"/>
      <c r="S364" s="169"/>
      <c r="T364" s="169"/>
      <c r="U364" s="169"/>
      <c r="V364" s="169"/>
      <c r="W364" s="169"/>
      <c r="X364" s="169"/>
      <c r="Y364" s="169"/>
      <c r="Z364" s="169"/>
      <c r="AA364" s="169"/>
      <c r="AB364" s="169"/>
      <c r="AC364" s="169"/>
      <c r="AD364" s="169"/>
      <c r="AE364" s="169"/>
      <c r="AF364" s="169"/>
      <c r="AG364" s="169"/>
      <c r="AH364" s="169"/>
      <c r="AI364" s="169"/>
      <c r="AJ364" s="169"/>
      <c r="AK364" s="169"/>
      <c r="AL364" s="169"/>
      <c r="AM364" s="169"/>
      <c r="AN364" s="169"/>
      <c r="AO364" s="169"/>
      <c r="AP364" s="169"/>
    </row>
    <row r="365" spans="5:42" x14ac:dyDescent="0.2">
      <c r="E365" s="169"/>
      <c r="F365" s="169"/>
      <c r="G365" s="169"/>
      <c r="H365" s="169"/>
      <c r="I365" s="169"/>
      <c r="J365" s="169"/>
      <c r="K365" s="169"/>
      <c r="L365" s="169"/>
      <c r="M365" s="169"/>
      <c r="N365" s="169"/>
      <c r="O365" s="169"/>
      <c r="P365" s="169"/>
      <c r="Q365" s="169"/>
      <c r="R365" s="169"/>
      <c r="S365" s="169"/>
      <c r="T365" s="169"/>
      <c r="U365" s="169"/>
      <c r="V365" s="169"/>
      <c r="W365" s="169"/>
      <c r="X365" s="169"/>
      <c r="Y365" s="169"/>
      <c r="Z365" s="169"/>
      <c r="AA365" s="169"/>
      <c r="AB365" s="169"/>
      <c r="AC365" s="169"/>
      <c r="AD365" s="169"/>
      <c r="AE365" s="169"/>
      <c r="AF365" s="169"/>
      <c r="AG365" s="169"/>
      <c r="AH365" s="169"/>
      <c r="AI365" s="169"/>
      <c r="AJ365" s="169"/>
      <c r="AK365" s="169"/>
      <c r="AL365" s="169"/>
      <c r="AM365" s="169"/>
      <c r="AN365" s="169"/>
      <c r="AO365" s="169"/>
      <c r="AP365" s="169"/>
    </row>
    <row r="366" spans="5:42" x14ac:dyDescent="0.2">
      <c r="E366" s="169"/>
      <c r="F366" s="169"/>
      <c r="G366" s="169"/>
      <c r="H366" s="169"/>
      <c r="I366" s="169"/>
      <c r="J366" s="169"/>
      <c r="K366" s="169"/>
      <c r="L366" s="169"/>
      <c r="M366" s="169"/>
      <c r="N366" s="169"/>
      <c r="O366" s="169"/>
      <c r="P366" s="169"/>
      <c r="Q366" s="169"/>
      <c r="R366" s="169"/>
      <c r="S366" s="169"/>
      <c r="T366" s="169"/>
      <c r="U366" s="169"/>
      <c r="V366" s="169"/>
      <c r="W366" s="169"/>
      <c r="X366" s="169"/>
      <c r="Y366" s="169"/>
      <c r="Z366" s="169"/>
      <c r="AA366" s="169"/>
      <c r="AB366" s="169"/>
      <c r="AC366" s="169"/>
      <c r="AD366" s="169"/>
      <c r="AE366" s="169"/>
      <c r="AF366" s="169"/>
      <c r="AG366" s="169"/>
      <c r="AH366" s="169"/>
      <c r="AI366" s="169"/>
      <c r="AJ366" s="169"/>
      <c r="AK366" s="169"/>
      <c r="AL366" s="169"/>
      <c r="AM366" s="169"/>
      <c r="AN366" s="169"/>
      <c r="AO366" s="169"/>
      <c r="AP366" s="169"/>
    </row>
    <row r="367" spans="5:42" x14ac:dyDescent="0.2">
      <c r="E367" s="169"/>
      <c r="F367" s="169"/>
      <c r="G367" s="169"/>
      <c r="H367" s="169"/>
      <c r="I367" s="169"/>
      <c r="J367" s="169"/>
      <c r="K367" s="169"/>
      <c r="L367" s="169"/>
      <c r="M367" s="169"/>
      <c r="N367" s="169"/>
      <c r="O367" s="169"/>
      <c r="P367" s="169"/>
      <c r="Q367" s="169"/>
      <c r="R367" s="169"/>
      <c r="S367" s="169"/>
      <c r="T367" s="169"/>
      <c r="U367" s="169"/>
      <c r="V367" s="169"/>
      <c r="W367" s="169"/>
      <c r="X367" s="169"/>
      <c r="Y367" s="169"/>
      <c r="Z367" s="169"/>
      <c r="AA367" s="169"/>
      <c r="AB367" s="169"/>
      <c r="AC367" s="169"/>
      <c r="AD367" s="169"/>
      <c r="AE367" s="169"/>
      <c r="AF367" s="169"/>
      <c r="AG367" s="169"/>
      <c r="AH367" s="169"/>
      <c r="AI367" s="169"/>
      <c r="AJ367" s="169"/>
      <c r="AK367" s="169"/>
      <c r="AL367" s="169"/>
      <c r="AM367" s="169"/>
      <c r="AN367" s="169"/>
      <c r="AO367" s="169"/>
      <c r="AP367" s="169"/>
    </row>
    <row r="368" spans="5:42" x14ac:dyDescent="0.2">
      <c r="E368" s="169"/>
      <c r="F368" s="169"/>
      <c r="G368" s="169"/>
      <c r="H368" s="169"/>
      <c r="I368" s="169"/>
      <c r="J368" s="169"/>
      <c r="K368" s="169"/>
      <c r="L368" s="169"/>
      <c r="M368" s="169"/>
      <c r="N368" s="169"/>
      <c r="O368" s="169"/>
      <c r="P368" s="169"/>
      <c r="Q368" s="169"/>
      <c r="R368" s="169"/>
      <c r="S368" s="169"/>
      <c r="T368" s="169"/>
      <c r="U368" s="169"/>
      <c r="V368" s="169"/>
      <c r="W368" s="169"/>
      <c r="X368" s="169"/>
      <c r="Y368" s="169"/>
      <c r="Z368" s="169"/>
      <c r="AA368" s="169"/>
      <c r="AB368" s="169"/>
      <c r="AC368" s="169"/>
      <c r="AD368" s="169"/>
      <c r="AE368" s="169"/>
      <c r="AF368" s="169"/>
      <c r="AG368" s="169"/>
      <c r="AH368" s="169"/>
      <c r="AI368" s="169"/>
      <c r="AJ368" s="169"/>
      <c r="AK368" s="169"/>
      <c r="AL368" s="169"/>
      <c r="AM368" s="169"/>
      <c r="AN368" s="169"/>
      <c r="AO368" s="169"/>
      <c r="AP368" s="169"/>
    </row>
    <row r="369" spans="5:42" x14ac:dyDescent="0.2">
      <c r="E369" s="169"/>
      <c r="F369" s="169"/>
      <c r="G369" s="169"/>
      <c r="H369" s="169"/>
      <c r="I369" s="169"/>
      <c r="J369" s="169"/>
      <c r="K369" s="169"/>
      <c r="L369" s="169"/>
      <c r="M369" s="169"/>
      <c r="N369" s="169"/>
      <c r="O369" s="169"/>
      <c r="P369" s="169"/>
      <c r="Q369" s="169"/>
      <c r="R369" s="169"/>
      <c r="S369" s="169"/>
      <c r="T369" s="169"/>
      <c r="U369" s="169"/>
      <c r="V369" s="169"/>
      <c r="W369" s="169"/>
      <c r="X369" s="169"/>
      <c r="Y369" s="169"/>
      <c r="Z369" s="169"/>
      <c r="AA369" s="169"/>
      <c r="AB369" s="169"/>
      <c r="AC369" s="169"/>
      <c r="AD369" s="169"/>
      <c r="AE369" s="169"/>
      <c r="AF369" s="169"/>
      <c r="AG369" s="169"/>
      <c r="AH369" s="169"/>
      <c r="AI369" s="169"/>
      <c r="AJ369" s="169"/>
      <c r="AK369" s="169"/>
      <c r="AL369" s="169"/>
      <c r="AM369" s="169"/>
      <c r="AN369" s="169"/>
      <c r="AO369" s="169"/>
      <c r="AP369" s="169"/>
    </row>
    <row r="370" spans="5:42" x14ac:dyDescent="0.2">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c r="AA370" s="169"/>
      <c r="AB370" s="169"/>
      <c r="AC370" s="169"/>
      <c r="AD370" s="169"/>
      <c r="AE370" s="169"/>
      <c r="AF370" s="169"/>
      <c r="AG370" s="169"/>
      <c r="AH370" s="169"/>
      <c r="AI370" s="169"/>
      <c r="AJ370" s="169"/>
      <c r="AK370" s="169"/>
      <c r="AL370" s="169"/>
      <c r="AM370" s="169"/>
      <c r="AN370" s="169"/>
      <c r="AO370" s="169"/>
      <c r="AP370" s="169"/>
    </row>
    <row r="371" spans="5:42" x14ac:dyDescent="0.2">
      <c r="E371" s="169"/>
      <c r="F371" s="169"/>
      <c r="G371" s="169"/>
      <c r="H371" s="169"/>
      <c r="I371" s="169"/>
      <c r="J371" s="169"/>
      <c r="K371" s="169"/>
      <c r="L371" s="169"/>
      <c r="M371" s="169"/>
      <c r="N371" s="169"/>
      <c r="O371" s="169"/>
      <c r="P371" s="169"/>
      <c r="Q371" s="169"/>
      <c r="R371" s="169"/>
      <c r="S371" s="169"/>
      <c r="T371" s="169"/>
      <c r="U371" s="169"/>
      <c r="V371" s="169"/>
      <c r="W371" s="169"/>
      <c r="X371" s="169"/>
      <c r="Y371" s="169"/>
      <c r="Z371" s="169"/>
      <c r="AA371" s="169"/>
      <c r="AB371" s="169"/>
      <c r="AC371" s="169"/>
      <c r="AD371" s="169"/>
      <c r="AE371" s="169"/>
      <c r="AF371" s="169"/>
      <c r="AG371" s="169"/>
      <c r="AH371" s="169"/>
      <c r="AI371" s="169"/>
      <c r="AJ371" s="169"/>
      <c r="AK371" s="169"/>
      <c r="AL371" s="169"/>
      <c r="AM371" s="169"/>
      <c r="AN371" s="169"/>
      <c r="AO371" s="169"/>
      <c r="AP371" s="169"/>
    </row>
    <row r="372" spans="5:42" x14ac:dyDescent="0.2">
      <c r="E372" s="169"/>
      <c r="F372" s="169"/>
      <c r="G372" s="169"/>
      <c r="H372" s="169"/>
      <c r="I372" s="169"/>
      <c r="J372" s="169"/>
      <c r="K372" s="169"/>
      <c r="L372" s="169"/>
      <c r="M372" s="169"/>
      <c r="N372" s="169"/>
      <c r="O372" s="169"/>
      <c r="P372" s="169"/>
      <c r="Q372" s="169"/>
      <c r="R372" s="169"/>
      <c r="S372" s="169"/>
      <c r="T372" s="169"/>
      <c r="U372" s="169"/>
      <c r="V372" s="169"/>
      <c r="W372" s="169"/>
      <c r="X372" s="169"/>
      <c r="Y372" s="169"/>
      <c r="Z372" s="169"/>
      <c r="AA372" s="169"/>
      <c r="AB372" s="169"/>
      <c r="AC372" s="169"/>
      <c r="AD372" s="169"/>
      <c r="AE372" s="169"/>
      <c r="AF372" s="169"/>
      <c r="AG372" s="169"/>
      <c r="AH372" s="169"/>
      <c r="AI372" s="169"/>
      <c r="AJ372" s="169"/>
      <c r="AK372" s="169"/>
      <c r="AL372" s="169"/>
      <c r="AM372" s="169"/>
      <c r="AN372" s="169"/>
      <c r="AO372" s="169"/>
      <c r="AP372" s="169"/>
    </row>
    <row r="373" spans="5:42" x14ac:dyDescent="0.2">
      <c r="E373" s="169"/>
      <c r="F373" s="169"/>
      <c r="G373" s="169"/>
      <c r="H373" s="169"/>
      <c r="I373" s="169"/>
      <c r="J373" s="169"/>
      <c r="K373" s="169"/>
      <c r="L373" s="169"/>
      <c r="M373" s="169"/>
      <c r="N373" s="169"/>
      <c r="O373" s="169"/>
      <c r="P373" s="169"/>
      <c r="Q373" s="169"/>
      <c r="R373" s="169"/>
      <c r="S373" s="169"/>
      <c r="T373" s="169"/>
      <c r="U373" s="169"/>
      <c r="V373" s="169"/>
      <c r="W373" s="169"/>
      <c r="X373" s="169"/>
      <c r="Y373" s="169"/>
      <c r="Z373" s="169"/>
      <c r="AA373" s="169"/>
      <c r="AB373" s="169"/>
      <c r="AC373" s="169"/>
      <c r="AD373" s="169"/>
      <c r="AE373" s="169"/>
      <c r="AF373" s="169"/>
      <c r="AG373" s="169"/>
      <c r="AH373" s="169"/>
      <c r="AI373" s="169"/>
      <c r="AJ373" s="169"/>
      <c r="AK373" s="169"/>
      <c r="AL373" s="169"/>
      <c r="AM373" s="169"/>
      <c r="AN373" s="169"/>
      <c r="AO373" s="169"/>
      <c r="AP373" s="169"/>
    </row>
    <row r="374" spans="5:42" x14ac:dyDescent="0.2">
      <c r="E374" s="169"/>
      <c r="F374" s="169"/>
      <c r="G374" s="169"/>
      <c r="H374" s="169"/>
      <c r="I374" s="169"/>
      <c r="J374" s="169"/>
      <c r="K374" s="169"/>
      <c r="L374" s="169"/>
      <c r="M374" s="169"/>
      <c r="N374" s="169"/>
      <c r="O374" s="169"/>
      <c r="P374" s="169"/>
      <c r="Q374" s="169"/>
      <c r="R374" s="169"/>
      <c r="S374" s="169"/>
      <c r="T374" s="169"/>
      <c r="U374" s="169"/>
      <c r="V374" s="169"/>
      <c r="W374" s="169"/>
      <c r="X374" s="169"/>
      <c r="Y374" s="169"/>
      <c r="Z374" s="169"/>
      <c r="AA374" s="169"/>
      <c r="AB374" s="169"/>
      <c r="AC374" s="169"/>
      <c r="AD374" s="169"/>
      <c r="AE374" s="169"/>
      <c r="AF374" s="169"/>
      <c r="AG374" s="169"/>
      <c r="AH374" s="169"/>
      <c r="AI374" s="169"/>
      <c r="AJ374" s="169"/>
      <c r="AK374" s="169"/>
      <c r="AL374" s="169"/>
      <c r="AM374" s="169"/>
      <c r="AN374" s="169"/>
      <c r="AO374" s="169"/>
      <c r="AP374" s="169"/>
    </row>
    <row r="375" spans="5:42" x14ac:dyDescent="0.2">
      <c r="E375" s="169"/>
      <c r="F375" s="169"/>
      <c r="G375" s="169"/>
      <c r="H375" s="169"/>
      <c r="I375" s="169"/>
      <c r="J375" s="169"/>
      <c r="K375" s="169"/>
      <c r="L375" s="169"/>
      <c r="M375" s="169"/>
      <c r="N375" s="169"/>
      <c r="O375" s="169"/>
      <c r="P375" s="169"/>
      <c r="Q375" s="169"/>
      <c r="R375" s="169"/>
      <c r="S375" s="169"/>
      <c r="T375" s="169"/>
      <c r="U375" s="169"/>
      <c r="V375" s="169"/>
      <c r="W375" s="169"/>
      <c r="X375" s="169"/>
      <c r="Y375" s="169"/>
      <c r="Z375" s="169"/>
      <c r="AA375" s="169"/>
      <c r="AB375" s="169"/>
      <c r="AC375" s="169"/>
      <c r="AD375" s="169"/>
      <c r="AE375" s="169"/>
      <c r="AF375" s="169"/>
      <c r="AG375" s="169"/>
      <c r="AH375" s="169"/>
      <c r="AI375" s="169"/>
      <c r="AJ375" s="169"/>
      <c r="AK375" s="169"/>
      <c r="AL375" s="169"/>
      <c r="AM375" s="169"/>
      <c r="AN375" s="169"/>
      <c r="AO375" s="169"/>
      <c r="AP375" s="169"/>
    </row>
    <row r="376" spans="5:42" x14ac:dyDescent="0.2">
      <c r="E376" s="169"/>
      <c r="F376" s="169"/>
      <c r="G376" s="169"/>
      <c r="H376" s="169"/>
      <c r="I376" s="169"/>
      <c r="J376" s="169"/>
      <c r="K376" s="169"/>
      <c r="L376" s="169"/>
      <c r="M376" s="169"/>
      <c r="N376" s="169"/>
      <c r="O376" s="169"/>
      <c r="P376" s="169"/>
      <c r="Q376" s="169"/>
      <c r="R376" s="169"/>
      <c r="S376" s="169"/>
      <c r="T376" s="169"/>
      <c r="U376" s="169"/>
      <c r="V376" s="169"/>
      <c r="W376" s="169"/>
      <c r="X376" s="169"/>
      <c r="Y376" s="169"/>
      <c r="Z376" s="169"/>
      <c r="AA376" s="169"/>
      <c r="AB376" s="169"/>
      <c r="AC376" s="169"/>
      <c r="AD376" s="169"/>
      <c r="AE376" s="169"/>
      <c r="AF376" s="169"/>
      <c r="AG376" s="169"/>
      <c r="AH376" s="169"/>
      <c r="AI376" s="169"/>
      <c r="AJ376" s="169"/>
      <c r="AK376" s="169"/>
      <c r="AL376" s="169"/>
      <c r="AM376" s="169"/>
      <c r="AN376" s="169"/>
      <c r="AO376" s="169"/>
      <c r="AP376" s="169"/>
    </row>
    <row r="377" spans="5:42" x14ac:dyDescent="0.2">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c r="AA377" s="169"/>
      <c r="AB377" s="169"/>
      <c r="AC377" s="169"/>
      <c r="AD377" s="169"/>
      <c r="AE377" s="169"/>
      <c r="AF377" s="169"/>
      <c r="AG377" s="169"/>
      <c r="AH377" s="169"/>
      <c r="AI377" s="169"/>
      <c r="AJ377" s="169"/>
      <c r="AK377" s="169"/>
      <c r="AL377" s="169"/>
      <c r="AM377" s="169"/>
      <c r="AN377" s="169"/>
      <c r="AO377" s="169"/>
      <c r="AP377" s="169"/>
    </row>
    <row r="378" spans="5:42" x14ac:dyDescent="0.2">
      <c r="E378" s="169"/>
      <c r="F378" s="169"/>
      <c r="G378" s="169"/>
      <c r="H378" s="169"/>
      <c r="I378" s="169"/>
      <c r="J378" s="169"/>
      <c r="K378" s="169"/>
      <c r="L378" s="169"/>
      <c r="M378" s="169"/>
      <c r="N378" s="169"/>
      <c r="O378" s="169"/>
      <c r="P378" s="169"/>
      <c r="Q378" s="169"/>
      <c r="R378" s="169"/>
      <c r="S378" s="169"/>
      <c r="T378" s="169"/>
      <c r="U378" s="169"/>
      <c r="V378" s="169"/>
      <c r="W378" s="169"/>
      <c r="X378" s="169"/>
      <c r="Y378" s="169"/>
      <c r="Z378" s="169"/>
      <c r="AA378" s="169"/>
      <c r="AB378" s="169"/>
      <c r="AC378" s="169"/>
      <c r="AD378" s="169"/>
      <c r="AE378" s="169"/>
      <c r="AF378" s="169"/>
      <c r="AG378" s="169"/>
      <c r="AH378" s="169"/>
      <c r="AI378" s="169"/>
      <c r="AJ378" s="169"/>
      <c r="AK378" s="169"/>
      <c r="AL378" s="169"/>
      <c r="AM378" s="169"/>
      <c r="AN378" s="169"/>
      <c r="AO378" s="169"/>
      <c r="AP378" s="169"/>
    </row>
    <row r="379" spans="5:42" x14ac:dyDescent="0.2">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c r="AA379" s="169"/>
      <c r="AB379" s="169"/>
      <c r="AC379" s="169"/>
      <c r="AD379" s="169"/>
      <c r="AE379" s="169"/>
      <c r="AF379" s="169"/>
      <c r="AG379" s="169"/>
      <c r="AH379" s="169"/>
      <c r="AI379" s="169"/>
      <c r="AJ379" s="169"/>
      <c r="AK379" s="169"/>
      <c r="AL379" s="169"/>
      <c r="AM379" s="169"/>
      <c r="AN379" s="169"/>
      <c r="AO379" s="169"/>
      <c r="AP379" s="169"/>
    </row>
    <row r="380" spans="5:42" x14ac:dyDescent="0.2">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169"/>
      <c r="AG380" s="169"/>
      <c r="AH380" s="169"/>
      <c r="AI380" s="169"/>
      <c r="AJ380" s="169"/>
      <c r="AK380" s="169"/>
      <c r="AL380" s="169"/>
      <c r="AM380" s="169"/>
      <c r="AN380" s="169"/>
      <c r="AO380" s="169"/>
      <c r="AP380" s="169"/>
    </row>
    <row r="381" spans="5:42" x14ac:dyDescent="0.2">
      <c r="E381" s="169"/>
      <c r="F381" s="169"/>
      <c r="G381" s="169"/>
      <c r="H381" s="169"/>
      <c r="I381" s="169"/>
      <c r="J381" s="169"/>
      <c r="K381" s="169"/>
      <c r="L381" s="169"/>
      <c r="M381" s="169"/>
      <c r="N381" s="169"/>
      <c r="O381" s="169"/>
      <c r="P381" s="169"/>
      <c r="Q381" s="169"/>
      <c r="R381" s="169"/>
      <c r="S381" s="169"/>
      <c r="T381" s="169"/>
      <c r="U381" s="169"/>
      <c r="V381" s="169"/>
      <c r="W381" s="169"/>
      <c r="X381" s="169"/>
      <c r="Y381" s="169"/>
      <c r="Z381" s="169"/>
      <c r="AA381" s="169"/>
      <c r="AB381" s="169"/>
      <c r="AC381" s="169"/>
      <c r="AD381" s="169"/>
      <c r="AE381" s="169"/>
      <c r="AF381" s="169"/>
      <c r="AG381" s="169"/>
      <c r="AH381" s="169"/>
      <c r="AI381" s="169"/>
      <c r="AJ381" s="169"/>
      <c r="AK381" s="169"/>
      <c r="AL381" s="169"/>
      <c r="AM381" s="169"/>
      <c r="AN381" s="169"/>
      <c r="AO381" s="169"/>
      <c r="AP381" s="169"/>
    </row>
    <row r="382" spans="5:42" x14ac:dyDescent="0.2">
      <c r="E382" s="169"/>
      <c r="F382" s="169"/>
      <c r="G382" s="169"/>
      <c r="H382" s="169"/>
      <c r="I382" s="169"/>
      <c r="J382" s="169"/>
      <c r="K382" s="169"/>
      <c r="L382" s="169"/>
      <c r="M382" s="169"/>
      <c r="N382" s="169"/>
      <c r="O382" s="169"/>
      <c r="P382" s="169"/>
      <c r="Q382" s="169"/>
      <c r="R382" s="169"/>
      <c r="S382" s="169"/>
      <c r="T382" s="169"/>
      <c r="U382" s="169"/>
      <c r="V382" s="169"/>
      <c r="W382" s="169"/>
      <c r="X382" s="169"/>
      <c r="Y382" s="169"/>
      <c r="Z382" s="169"/>
      <c r="AA382" s="169"/>
      <c r="AB382" s="169"/>
      <c r="AC382" s="169"/>
      <c r="AD382" s="169"/>
      <c r="AE382" s="169"/>
      <c r="AF382" s="169"/>
      <c r="AG382" s="169"/>
      <c r="AH382" s="169"/>
      <c r="AI382" s="169"/>
      <c r="AJ382" s="169"/>
      <c r="AK382" s="169"/>
      <c r="AL382" s="169"/>
      <c r="AM382" s="169"/>
      <c r="AN382" s="169"/>
      <c r="AO382" s="169"/>
      <c r="AP382" s="169"/>
    </row>
    <row r="383" spans="5:42" x14ac:dyDescent="0.2">
      <c r="E383" s="169"/>
      <c r="F383" s="169"/>
      <c r="G383" s="169"/>
      <c r="H383" s="169"/>
      <c r="I383" s="169"/>
      <c r="J383" s="169"/>
      <c r="K383" s="169"/>
      <c r="L383" s="169"/>
      <c r="M383" s="169"/>
      <c r="N383" s="169"/>
      <c r="O383" s="169"/>
      <c r="P383" s="169"/>
      <c r="Q383" s="169"/>
      <c r="R383" s="169"/>
      <c r="S383" s="169"/>
      <c r="T383" s="169"/>
      <c r="U383" s="169"/>
      <c r="V383" s="169"/>
      <c r="W383" s="169"/>
      <c r="X383" s="169"/>
      <c r="Y383" s="169"/>
      <c r="Z383" s="169"/>
      <c r="AA383" s="169"/>
      <c r="AB383" s="169"/>
      <c r="AC383" s="169"/>
      <c r="AD383" s="169"/>
      <c r="AE383" s="169"/>
      <c r="AF383" s="169"/>
      <c r="AG383" s="169"/>
      <c r="AH383" s="169"/>
      <c r="AI383" s="169"/>
      <c r="AJ383" s="169"/>
      <c r="AK383" s="169"/>
      <c r="AL383" s="169"/>
      <c r="AM383" s="169"/>
      <c r="AN383" s="169"/>
      <c r="AO383" s="169"/>
      <c r="AP383" s="169"/>
    </row>
    <row r="384" spans="5:42" x14ac:dyDescent="0.2">
      <c r="E384" s="169"/>
      <c r="F384" s="169"/>
      <c r="G384" s="169"/>
      <c r="H384" s="169"/>
      <c r="I384" s="169"/>
      <c r="J384" s="169"/>
      <c r="K384" s="169"/>
      <c r="L384" s="169"/>
      <c r="M384" s="169"/>
      <c r="N384" s="169"/>
      <c r="O384" s="169"/>
      <c r="P384" s="169"/>
      <c r="Q384" s="169"/>
      <c r="R384" s="169"/>
      <c r="S384" s="169"/>
      <c r="T384" s="169"/>
      <c r="U384" s="169"/>
      <c r="V384" s="169"/>
      <c r="W384" s="169"/>
      <c r="X384" s="169"/>
      <c r="Y384" s="169"/>
      <c r="Z384" s="169"/>
      <c r="AA384" s="169"/>
      <c r="AB384" s="169"/>
      <c r="AC384" s="169"/>
      <c r="AD384" s="169"/>
      <c r="AE384" s="169"/>
      <c r="AF384" s="169"/>
      <c r="AG384" s="169"/>
      <c r="AH384" s="169"/>
      <c r="AI384" s="169"/>
      <c r="AJ384" s="169"/>
      <c r="AK384" s="169"/>
      <c r="AL384" s="169"/>
      <c r="AM384" s="169"/>
      <c r="AN384" s="169"/>
      <c r="AO384" s="169"/>
      <c r="AP384" s="169"/>
    </row>
    <row r="385" spans="5:42" x14ac:dyDescent="0.2">
      <c r="E385" s="169"/>
      <c r="F385" s="169"/>
      <c r="G385" s="169"/>
      <c r="H385" s="169"/>
      <c r="I385" s="169"/>
      <c r="J385" s="169"/>
      <c r="K385" s="169"/>
      <c r="L385" s="169"/>
      <c r="M385" s="169"/>
      <c r="N385" s="169"/>
      <c r="O385" s="169"/>
      <c r="P385" s="169"/>
      <c r="Q385" s="169"/>
      <c r="R385" s="169"/>
      <c r="S385" s="169"/>
      <c r="T385" s="169"/>
      <c r="U385" s="169"/>
      <c r="V385" s="169"/>
      <c r="W385" s="169"/>
      <c r="X385" s="169"/>
      <c r="Y385" s="169"/>
      <c r="Z385" s="169"/>
      <c r="AA385" s="169"/>
      <c r="AB385" s="169"/>
      <c r="AC385" s="169"/>
      <c r="AD385" s="169"/>
      <c r="AE385" s="169"/>
      <c r="AF385" s="169"/>
      <c r="AG385" s="169"/>
      <c r="AH385" s="169"/>
      <c r="AI385" s="169"/>
      <c r="AJ385" s="169"/>
      <c r="AK385" s="169"/>
      <c r="AL385" s="169"/>
      <c r="AM385" s="169"/>
      <c r="AN385" s="169"/>
      <c r="AO385" s="169"/>
      <c r="AP385" s="169"/>
    </row>
    <row r="386" spans="5:42" x14ac:dyDescent="0.2">
      <c r="E386" s="169"/>
      <c r="F386" s="169"/>
      <c r="G386" s="169"/>
      <c r="H386" s="169"/>
      <c r="I386" s="169"/>
      <c r="J386" s="169"/>
      <c r="K386" s="169"/>
      <c r="L386" s="169"/>
      <c r="M386" s="169"/>
      <c r="N386" s="169"/>
      <c r="O386" s="169"/>
      <c r="P386" s="169"/>
      <c r="Q386" s="169"/>
      <c r="R386" s="169"/>
      <c r="S386" s="169"/>
      <c r="T386" s="169"/>
      <c r="U386" s="169"/>
      <c r="V386" s="169"/>
      <c r="W386" s="169"/>
      <c r="X386" s="169"/>
      <c r="Y386" s="169"/>
      <c r="Z386" s="169"/>
      <c r="AA386" s="169"/>
      <c r="AB386" s="169"/>
      <c r="AC386" s="169"/>
      <c r="AD386" s="169"/>
      <c r="AE386" s="169"/>
      <c r="AF386" s="169"/>
      <c r="AG386" s="169"/>
      <c r="AH386" s="169"/>
      <c r="AI386" s="169"/>
      <c r="AJ386" s="169"/>
      <c r="AK386" s="169"/>
      <c r="AL386" s="169"/>
      <c r="AM386" s="169"/>
      <c r="AN386" s="169"/>
      <c r="AO386" s="169"/>
      <c r="AP386" s="169"/>
    </row>
    <row r="387" spans="5:42" x14ac:dyDescent="0.2">
      <c r="E387" s="169"/>
      <c r="F387" s="169"/>
      <c r="G387" s="169"/>
      <c r="H387" s="169"/>
      <c r="I387" s="169"/>
      <c r="J387" s="169"/>
      <c r="K387" s="169"/>
      <c r="L387" s="169"/>
      <c r="M387" s="169"/>
      <c r="N387" s="169"/>
      <c r="O387" s="169"/>
      <c r="P387" s="169"/>
      <c r="Q387" s="169"/>
      <c r="R387" s="169"/>
      <c r="S387" s="169"/>
      <c r="T387" s="169"/>
      <c r="U387" s="169"/>
      <c r="V387" s="169"/>
      <c r="W387" s="169"/>
      <c r="X387" s="169"/>
      <c r="Y387" s="169"/>
      <c r="Z387" s="169"/>
      <c r="AA387" s="169"/>
      <c r="AB387" s="169"/>
      <c r="AC387" s="169"/>
      <c r="AD387" s="169"/>
      <c r="AE387" s="169"/>
      <c r="AF387" s="169"/>
      <c r="AG387" s="169"/>
      <c r="AH387" s="169"/>
      <c r="AI387" s="169"/>
      <c r="AJ387" s="169"/>
      <c r="AK387" s="169"/>
      <c r="AL387" s="169"/>
      <c r="AM387" s="169"/>
      <c r="AN387" s="169"/>
      <c r="AO387" s="169"/>
      <c r="AP387" s="169"/>
    </row>
    <row r="388" spans="5:42" x14ac:dyDescent="0.2">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c r="AA388" s="169"/>
      <c r="AB388" s="169"/>
      <c r="AC388" s="169"/>
      <c r="AD388" s="169"/>
      <c r="AE388" s="169"/>
      <c r="AF388" s="169"/>
      <c r="AG388" s="169"/>
      <c r="AH388" s="169"/>
      <c r="AI388" s="169"/>
      <c r="AJ388" s="169"/>
      <c r="AK388" s="169"/>
      <c r="AL388" s="169"/>
      <c r="AM388" s="169"/>
      <c r="AN388" s="169"/>
      <c r="AO388" s="169"/>
      <c r="AP388" s="169"/>
    </row>
    <row r="389" spans="5:42" x14ac:dyDescent="0.2">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c r="AA389" s="169"/>
      <c r="AB389" s="169"/>
      <c r="AC389" s="169"/>
      <c r="AD389" s="169"/>
      <c r="AE389" s="169"/>
      <c r="AF389" s="169"/>
      <c r="AG389" s="169"/>
      <c r="AH389" s="169"/>
      <c r="AI389" s="169"/>
      <c r="AJ389" s="169"/>
      <c r="AK389" s="169"/>
      <c r="AL389" s="169"/>
      <c r="AM389" s="169"/>
      <c r="AN389" s="169"/>
      <c r="AO389" s="169"/>
      <c r="AP389" s="169"/>
    </row>
    <row r="390" spans="5:42" x14ac:dyDescent="0.2">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c r="AA390" s="169"/>
      <c r="AB390" s="169"/>
      <c r="AC390" s="169"/>
      <c r="AD390" s="169"/>
      <c r="AE390" s="169"/>
      <c r="AF390" s="169"/>
      <c r="AG390" s="169"/>
      <c r="AH390" s="169"/>
      <c r="AI390" s="169"/>
      <c r="AJ390" s="169"/>
      <c r="AK390" s="169"/>
      <c r="AL390" s="169"/>
      <c r="AM390" s="169"/>
      <c r="AN390" s="169"/>
      <c r="AO390" s="169"/>
      <c r="AP390" s="169"/>
    </row>
    <row r="391" spans="5:42" x14ac:dyDescent="0.2">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c r="AA391" s="169"/>
      <c r="AB391" s="169"/>
      <c r="AC391" s="169"/>
      <c r="AD391" s="169"/>
      <c r="AE391" s="169"/>
      <c r="AF391" s="169"/>
      <c r="AG391" s="169"/>
      <c r="AH391" s="169"/>
      <c r="AI391" s="169"/>
      <c r="AJ391" s="169"/>
      <c r="AK391" s="169"/>
      <c r="AL391" s="169"/>
      <c r="AM391" s="169"/>
      <c r="AN391" s="169"/>
      <c r="AO391" s="169"/>
      <c r="AP391" s="169"/>
    </row>
    <row r="392" spans="5:42" x14ac:dyDescent="0.2">
      <c r="E392" s="169"/>
      <c r="F392" s="169"/>
      <c r="G392" s="169"/>
      <c r="H392" s="169"/>
      <c r="I392" s="169"/>
      <c r="J392" s="169"/>
      <c r="K392" s="169"/>
      <c r="L392" s="169"/>
      <c r="M392" s="169"/>
      <c r="N392" s="169"/>
      <c r="O392" s="169"/>
      <c r="P392" s="169"/>
      <c r="Q392" s="169"/>
      <c r="R392" s="169"/>
      <c r="S392" s="169"/>
      <c r="T392" s="169"/>
      <c r="U392" s="169"/>
      <c r="V392" s="169"/>
      <c r="W392" s="169"/>
      <c r="X392" s="169"/>
      <c r="Y392" s="169"/>
      <c r="Z392" s="169"/>
      <c r="AA392" s="169"/>
      <c r="AB392" s="169"/>
      <c r="AC392" s="169"/>
      <c r="AD392" s="169"/>
      <c r="AE392" s="169"/>
      <c r="AF392" s="169"/>
      <c r="AG392" s="169"/>
      <c r="AH392" s="169"/>
      <c r="AI392" s="169"/>
      <c r="AJ392" s="169"/>
      <c r="AK392" s="169"/>
      <c r="AL392" s="169"/>
      <c r="AM392" s="169"/>
      <c r="AN392" s="169"/>
      <c r="AO392" s="169"/>
      <c r="AP392" s="169"/>
    </row>
    <row r="393" spans="5:42" x14ac:dyDescent="0.2">
      <c r="E393" s="169"/>
      <c r="F393" s="169"/>
      <c r="G393" s="169"/>
      <c r="H393" s="169"/>
      <c r="I393" s="169"/>
      <c r="J393" s="169"/>
      <c r="K393" s="169"/>
      <c r="L393" s="169"/>
      <c r="M393" s="169"/>
      <c r="N393" s="169"/>
      <c r="O393" s="169"/>
      <c r="P393" s="169"/>
      <c r="Q393" s="169"/>
      <c r="R393" s="169"/>
      <c r="S393" s="169"/>
      <c r="T393" s="169"/>
      <c r="U393" s="169"/>
      <c r="V393" s="169"/>
      <c r="W393" s="169"/>
      <c r="X393" s="169"/>
      <c r="Y393" s="169"/>
      <c r="Z393" s="169"/>
      <c r="AA393" s="169"/>
      <c r="AB393" s="169"/>
      <c r="AC393" s="169"/>
      <c r="AD393" s="169"/>
      <c r="AE393" s="169"/>
      <c r="AF393" s="169"/>
      <c r="AG393" s="169"/>
      <c r="AH393" s="169"/>
      <c r="AI393" s="169"/>
      <c r="AJ393" s="169"/>
      <c r="AK393" s="169"/>
      <c r="AL393" s="169"/>
      <c r="AM393" s="169"/>
      <c r="AN393" s="169"/>
      <c r="AO393" s="169"/>
      <c r="AP393" s="169"/>
    </row>
    <row r="394" spans="5:42" x14ac:dyDescent="0.2">
      <c r="E394" s="169"/>
      <c r="F394" s="169"/>
      <c r="G394" s="169"/>
      <c r="H394" s="169"/>
      <c r="I394" s="169"/>
      <c r="J394" s="169"/>
      <c r="K394" s="169"/>
      <c r="L394" s="169"/>
      <c r="M394" s="169"/>
      <c r="N394" s="169"/>
      <c r="O394" s="169"/>
      <c r="P394" s="169"/>
      <c r="Q394" s="169"/>
      <c r="R394" s="169"/>
      <c r="S394" s="169"/>
      <c r="T394" s="169"/>
      <c r="U394" s="169"/>
      <c r="V394" s="169"/>
      <c r="W394" s="169"/>
      <c r="X394" s="169"/>
      <c r="Y394" s="169"/>
      <c r="Z394" s="169"/>
      <c r="AA394" s="169"/>
      <c r="AB394" s="169"/>
      <c r="AC394" s="169"/>
      <c r="AD394" s="169"/>
      <c r="AE394" s="169"/>
      <c r="AF394" s="169"/>
      <c r="AG394" s="169"/>
      <c r="AH394" s="169"/>
      <c r="AI394" s="169"/>
      <c r="AJ394" s="169"/>
      <c r="AK394" s="169"/>
      <c r="AL394" s="169"/>
      <c r="AM394" s="169"/>
      <c r="AN394" s="169"/>
      <c r="AO394" s="169"/>
      <c r="AP394" s="169"/>
    </row>
    <row r="395" spans="5:42" x14ac:dyDescent="0.2">
      <c r="E395" s="169"/>
      <c r="F395" s="169"/>
      <c r="G395" s="169"/>
      <c r="H395" s="169"/>
      <c r="I395" s="169"/>
      <c r="J395" s="169"/>
      <c r="K395" s="169"/>
      <c r="L395" s="169"/>
      <c r="M395" s="169"/>
      <c r="N395" s="169"/>
      <c r="O395" s="169"/>
      <c r="P395" s="169"/>
      <c r="Q395" s="169"/>
      <c r="R395" s="169"/>
      <c r="S395" s="169"/>
      <c r="T395" s="169"/>
      <c r="U395" s="169"/>
      <c r="V395" s="169"/>
      <c r="W395" s="169"/>
      <c r="X395" s="169"/>
      <c r="Y395" s="169"/>
      <c r="Z395" s="169"/>
      <c r="AA395" s="169"/>
      <c r="AB395" s="169"/>
      <c r="AC395" s="169"/>
      <c r="AD395" s="169"/>
      <c r="AE395" s="169"/>
      <c r="AF395" s="169"/>
      <c r="AG395" s="169"/>
      <c r="AH395" s="169"/>
      <c r="AI395" s="169"/>
      <c r="AJ395" s="169"/>
      <c r="AK395" s="169"/>
      <c r="AL395" s="169"/>
      <c r="AM395" s="169"/>
      <c r="AN395" s="169"/>
      <c r="AO395" s="169"/>
      <c r="AP395" s="169"/>
    </row>
    <row r="396" spans="5:42" x14ac:dyDescent="0.2">
      <c r="E396" s="169"/>
      <c r="F396" s="169"/>
      <c r="G396" s="169"/>
      <c r="H396" s="169"/>
      <c r="I396" s="169"/>
      <c r="J396" s="169"/>
      <c r="K396" s="169"/>
      <c r="L396" s="169"/>
      <c r="M396" s="169"/>
      <c r="N396" s="169"/>
      <c r="O396" s="169"/>
      <c r="P396" s="169"/>
      <c r="Q396" s="169"/>
      <c r="R396" s="169"/>
      <c r="S396" s="169"/>
      <c r="T396" s="169"/>
      <c r="U396" s="169"/>
      <c r="V396" s="169"/>
      <c r="W396" s="169"/>
      <c r="X396" s="169"/>
      <c r="Y396" s="169"/>
      <c r="Z396" s="169"/>
      <c r="AA396" s="169"/>
      <c r="AB396" s="169"/>
      <c r="AC396" s="169"/>
      <c r="AD396" s="169"/>
      <c r="AE396" s="169"/>
      <c r="AF396" s="169"/>
      <c r="AG396" s="169"/>
      <c r="AH396" s="169"/>
      <c r="AI396" s="169"/>
      <c r="AJ396" s="169"/>
      <c r="AK396" s="169"/>
      <c r="AL396" s="169"/>
      <c r="AM396" s="169"/>
      <c r="AN396" s="169"/>
      <c r="AO396" s="169"/>
      <c r="AP396" s="169"/>
    </row>
    <row r="397" spans="5:42" x14ac:dyDescent="0.2">
      <c r="E397" s="169"/>
      <c r="F397" s="169"/>
      <c r="G397" s="169"/>
      <c r="H397" s="169"/>
      <c r="I397" s="169"/>
      <c r="J397" s="169"/>
      <c r="K397" s="169"/>
      <c r="L397" s="169"/>
      <c r="M397" s="169"/>
      <c r="N397" s="169"/>
      <c r="O397" s="169"/>
      <c r="P397" s="169"/>
      <c r="Q397" s="169"/>
      <c r="R397" s="169"/>
      <c r="S397" s="169"/>
      <c r="T397" s="169"/>
      <c r="U397" s="169"/>
      <c r="V397" s="169"/>
      <c r="W397" s="169"/>
      <c r="X397" s="169"/>
      <c r="Y397" s="169"/>
      <c r="Z397" s="169"/>
      <c r="AA397" s="169"/>
      <c r="AB397" s="169"/>
      <c r="AC397" s="169"/>
      <c r="AD397" s="169"/>
      <c r="AE397" s="169"/>
      <c r="AF397" s="169"/>
      <c r="AG397" s="169"/>
      <c r="AH397" s="169"/>
      <c r="AI397" s="169"/>
      <c r="AJ397" s="169"/>
      <c r="AK397" s="169"/>
      <c r="AL397" s="169"/>
      <c r="AM397" s="169"/>
      <c r="AN397" s="169"/>
      <c r="AO397" s="169"/>
      <c r="AP397" s="169"/>
    </row>
    <row r="398" spans="5:42" x14ac:dyDescent="0.2">
      <c r="E398" s="169"/>
      <c r="F398" s="169"/>
      <c r="G398" s="169"/>
      <c r="H398" s="169"/>
      <c r="I398" s="169"/>
      <c r="J398" s="169"/>
      <c r="K398" s="169"/>
      <c r="L398" s="169"/>
      <c r="M398" s="169"/>
      <c r="N398" s="169"/>
      <c r="O398" s="169"/>
      <c r="P398" s="169"/>
      <c r="Q398" s="169"/>
      <c r="R398" s="169"/>
      <c r="S398" s="169"/>
      <c r="T398" s="169"/>
      <c r="U398" s="169"/>
      <c r="V398" s="169"/>
      <c r="W398" s="169"/>
      <c r="X398" s="169"/>
      <c r="Y398" s="169"/>
      <c r="Z398" s="169"/>
      <c r="AA398" s="169"/>
      <c r="AB398" s="169"/>
      <c r="AC398" s="169"/>
      <c r="AD398" s="169"/>
      <c r="AE398" s="169"/>
      <c r="AF398" s="169"/>
      <c r="AG398" s="169"/>
      <c r="AH398" s="169"/>
      <c r="AI398" s="169"/>
      <c r="AJ398" s="169"/>
      <c r="AK398" s="169"/>
      <c r="AL398" s="169"/>
      <c r="AM398" s="169"/>
      <c r="AN398" s="169"/>
      <c r="AO398" s="169"/>
      <c r="AP398" s="169"/>
    </row>
    <row r="399" spans="5:42" x14ac:dyDescent="0.2">
      <c r="E399" s="169"/>
      <c r="F399" s="169"/>
      <c r="G399" s="169"/>
      <c r="H399" s="169"/>
      <c r="I399" s="169"/>
      <c r="J399" s="169"/>
      <c r="K399" s="169"/>
      <c r="L399" s="169"/>
      <c r="M399" s="169"/>
      <c r="N399" s="169"/>
      <c r="O399" s="169"/>
      <c r="P399" s="169"/>
      <c r="Q399" s="169"/>
      <c r="R399" s="169"/>
      <c r="S399" s="169"/>
      <c r="T399" s="169"/>
      <c r="U399" s="169"/>
      <c r="V399" s="169"/>
      <c r="W399" s="169"/>
      <c r="X399" s="169"/>
      <c r="Y399" s="169"/>
      <c r="Z399" s="169"/>
      <c r="AA399" s="169"/>
      <c r="AB399" s="169"/>
      <c r="AC399" s="169"/>
      <c r="AD399" s="169"/>
      <c r="AE399" s="169"/>
      <c r="AF399" s="169"/>
      <c r="AG399" s="169"/>
      <c r="AH399" s="169"/>
      <c r="AI399" s="169"/>
      <c r="AJ399" s="169"/>
      <c r="AK399" s="169"/>
      <c r="AL399" s="169"/>
      <c r="AM399" s="169"/>
      <c r="AN399" s="169"/>
      <c r="AO399" s="169"/>
      <c r="AP399" s="169"/>
    </row>
    <row r="400" spans="5:42" x14ac:dyDescent="0.2">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c r="AA400" s="169"/>
      <c r="AB400" s="169"/>
      <c r="AC400" s="169"/>
      <c r="AD400" s="169"/>
      <c r="AE400" s="169"/>
      <c r="AF400" s="169"/>
      <c r="AG400" s="169"/>
      <c r="AH400" s="169"/>
      <c r="AI400" s="169"/>
      <c r="AJ400" s="169"/>
      <c r="AK400" s="169"/>
      <c r="AL400" s="169"/>
      <c r="AM400" s="169"/>
      <c r="AN400" s="169"/>
      <c r="AO400" s="169"/>
      <c r="AP400" s="169"/>
    </row>
    <row r="401" spans="5:42" x14ac:dyDescent="0.2">
      <c r="E401" s="169"/>
      <c r="F401" s="169"/>
      <c r="G401" s="169"/>
      <c r="H401" s="169"/>
      <c r="I401" s="169"/>
      <c r="J401" s="169"/>
      <c r="K401" s="169"/>
      <c r="L401" s="169"/>
      <c r="M401" s="169"/>
      <c r="N401" s="169"/>
      <c r="O401" s="169"/>
      <c r="P401" s="169"/>
      <c r="Q401" s="169"/>
      <c r="R401" s="169"/>
      <c r="S401" s="169"/>
      <c r="T401" s="169"/>
      <c r="U401" s="169"/>
      <c r="V401" s="169"/>
      <c r="W401" s="169"/>
      <c r="X401" s="169"/>
      <c r="Y401" s="169"/>
      <c r="Z401" s="169"/>
      <c r="AA401" s="169"/>
      <c r="AB401" s="169"/>
      <c r="AC401" s="169"/>
      <c r="AD401" s="169"/>
      <c r="AE401" s="169"/>
      <c r="AF401" s="169"/>
      <c r="AG401" s="169"/>
      <c r="AH401" s="169"/>
      <c r="AI401" s="169"/>
      <c r="AJ401" s="169"/>
      <c r="AK401" s="169"/>
      <c r="AL401" s="169"/>
      <c r="AM401" s="169"/>
      <c r="AN401" s="169"/>
      <c r="AO401" s="169"/>
      <c r="AP401" s="169"/>
    </row>
    <row r="402" spans="5:42" x14ac:dyDescent="0.2">
      <c r="E402" s="169"/>
      <c r="F402" s="169"/>
      <c r="G402" s="169"/>
      <c r="H402" s="169"/>
      <c r="I402" s="169"/>
      <c r="J402" s="169"/>
      <c r="K402" s="169"/>
      <c r="L402" s="169"/>
      <c r="M402" s="169"/>
      <c r="N402" s="169"/>
      <c r="O402" s="169"/>
      <c r="P402" s="169"/>
      <c r="Q402" s="169"/>
      <c r="R402" s="169"/>
      <c r="S402" s="169"/>
      <c r="T402" s="169"/>
      <c r="U402" s="169"/>
      <c r="V402" s="169"/>
      <c r="W402" s="169"/>
      <c r="X402" s="169"/>
      <c r="Y402" s="169"/>
      <c r="Z402" s="169"/>
      <c r="AA402" s="169"/>
      <c r="AB402" s="169"/>
      <c r="AC402" s="169"/>
      <c r="AD402" s="169"/>
      <c r="AE402" s="169"/>
      <c r="AF402" s="169"/>
      <c r="AG402" s="169"/>
      <c r="AH402" s="169"/>
      <c r="AI402" s="169"/>
      <c r="AJ402" s="169"/>
      <c r="AK402" s="169"/>
      <c r="AL402" s="169"/>
      <c r="AM402" s="169"/>
      <c r="AN402" s="169"/>
      <c r="AO402" s="169"/>
      <c r="AP402" s="169"/>
    </row>
    <row r="403" spans="5:42" x14ac:dyDescent="0.2">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c r="AA403" s="169"/>
      <c r="AB403" s="169"/>
      <c r="AC403" s="169"/>
      <c r="AD403" s="169"/>
      <c r="AE403" s="169"/>
      <c r="AF403" s="169"/>
      <c r="AG403" s="169"/>
      <c r="AH403" s="169"/>
      <c r="AI403" s="169"/>
      <c r="AJ403" s="169"/>
      <c r="AK403" s="169"/>
      <c r="AL403" s="169"/>
      <c r="AM403" s="169"/>
      <c r="AN403" s="169"/>
      <c r="AO403" s="169"/>
      <c r="AP403" s="169"/>
    </row>
    <row r="404" spans="5:42" x14ac:dyDescent="0.2">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c r="AA404" s="169"/>
      <c r="AB404" s="169"/>
      <c r="AC404" s="169"/>
      <c r="AD404" s="169"/>
      <c r="AE404" s="169"/>
      <c r="AF404" s="169"/>
      <c r="AG404" s="169"/>
      <c r="AH404" s="169"/>
      <c r="AI404" s="169"/>
      <c r="AJ404" s="169"/>
      <c r="AK404" s="169"/>
      <c r="AL404" s="169"/>
      <c r="AM404" s="169"/>
      <c r="AN404" s="169"/>
      <c r="AO404" s="169"/>
      <c r="AP404" s="169"/>
    </row>
    <row r="405" spans="5:42" x14ac:dyDescent="0.2">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c r="AA405" s="169"/>
      <c r="AB405" s="169"/>
      <c r="AC405" s="169"/>
      <c r="AD405" s="169"/>
      <c r="AE405" s="169"/>
      <c r="AF405" s="169"/>
      <c r="AG405" s="169"/>
      <c r="AH405" s="169"/>
      <c r="AI405" s="169"/>
      <c r="AJ405" s="169"/>
      <c r="AK405" s="169"/>
      <c r="AL405" s="169"/>
      <c r="AM405" s="169"/>
      <c r="AN405" s="169"/>
      <c r="AO405" s="169"/>
      <c r="AP405" s="169"/>
    </row>
    <row r="406" spans="5:42" x14ac:dyDescent="0.2">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c r="AA406" s="169"/>
      <c r="AB406" s="169"/>
      <c r="AC406" s="169"/>
      <c r="AD406" s="169"/>
      <c r="AE406" s="169"/>
      <c r="AF406" s="169"/>
      <c r="AG406" s="169"/>
      <c r="AH406" s="169"/>
      <c r="AI406" s="169"/>
      <c r="AJ406" s="169"/>
      <c r="AK406" s="169"/>
      <c r="AL406" s="169"/>
      <c r="AM406" s="169"/>
      <c r="AN406" s="169"/>
      <c r="AO406" s="169"/>
      <c r="AP406" s="169"/>
    </row>
    <row r="407" spans="5:42" x14ac:dyDescent="0.2">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c r="AA407" s="169"/>
      <c r="AB407" s="169"/>
      <c r="AC407" s="169"/>
      <c r="AD407" s="169"/>
      <c r="AE407" s="169"/>
      <c r="AF407" s="169"/>
      <c r="AG407" s="169"/>
      <c r="AH407" s="169"/>
      <c r="AI407" s="169"/>
      <c r="AJ407" s="169"/>
      <c r="AK407" s="169"/>
      <c r="AL407" s="169"/>
      <c r="AM407" s="169"/>
      <c r="AN407" s="169"/>
      <c r="AO407" s="169"/>
      <c r="AP407" s="169"/>
    </row>
    <row r="408" spans="5:42" x14ac:dyDescent="0.2">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c r="AA408" s="169"/>
      <c r="AB408" s="169"/>
      <c r="AC408" s="169"/>
      <c r="AD408" s="169"/>
      <c r="AE408" s="169"/>
      <c r="AF408" s="169"/>
      <c r="AG408" s="169"/>
      <c r="AH408" s="169"/>
      <c r="AI408" s="169"/>
      <c r="AJ408" s="169"/>
      <c r="AK408" s="169"/>
      <c r="AL408" s="169"/>
      <c r="AM408" s="169"/>
      <c r="AN408" s="169"/>
      <c r="AO408" s="169"/>
      <c r="AP408" s="169"/>
    </row>
    <row r="409" spans="5:42" x14ac:dyDescent="0.2">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c r="AA409" s="169"/>
      <c r="AB409" s="169"/>
      <c r="AC409" s="169"/>
      <c r="AD409" s="169"/>
      <c r="AE409" s="169"/>
      <c r="AF409" s="169"/>
      <c r="AG409" s="169"/>
      <c r="AH409" s="169"/>
      <c r="AI409" s="169"/>
      <c r="AJ409" s="169"/>
      <c r="AK409" s="169"/>
      <c r="AL409" s="169"/>
      <c r="AM409" s="169"/>
      <c r="AN409" s="169"/>
      <c r="AO409" s="169"/>
      <c r="AP409" s="169"/>
    </row>
    <row r="410" spans="5:42" x14ac:dyDescent="0.2">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c r="AA410" s="169"/>
      <c r="AB410" s="169"/>
      <c r="AC410" s="169"/>
      <c r="AD410" s="169"/>
      <c r="AE410" s="169"/>
      <c r="AF410" s="169"/>
      <c r="AG410" s="169"/>
      <c r="AH410" s="169"/>
      <c r="AI410" s="169"/>
      <c r="AJ410" s="169"/>
      <c r="AK410" s="169"/>
      <c r="AL410" s="169"/>
      <c r="AM410" s="169"/>
      <c r="AN410" s="169"/>
      <c r="AO410" s="169"/>
      <c r="AP410" s="169"/>
    </row>
    <row r="411" spans="5:42" x14ac:dyDescent="0.2">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c r="AA411" s="169"/>
      <c r="AB411" s="169"/>
      <c r="AC411" s="169"/>
      <c r="AD411" s="169"/>
      <c r="AE411" s="169"/>
      <c r="AF411" s="169"/>
      <c r="AG411" s="169"/>
      <c r="AH411" s="169"/>
      <c r="AI411" s="169"/>
      <c r="AJ411" s="169"/>
      <c r="AK411" s="169"/>
      <c r="AL411" s="169"/>
      <c r="AM411" s="169"/>
      <c r="AN411" s="169"/>
      <c r="AO411" s="169"/>
      <c r="AP411" s="169"/>
    </row>
    <row r="412" spans="5:42" x14ac:dyDescent="0.2">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c r="AA412" s="169"/>
      <c r="AB412" s="169"/>
      <c r="AC412" s="169"/>
      <c r="AD412" s="169"/>
      <c r="AE412" s="169"/>
      <c r="AF412" s="169"/>
      <c r="AG412" s="169"/>
      <c r="AH412" s="169"/>
      <c r="AI412" s="169"/>
      <c r="AJ412" s="169"/>
      <c r="AK412" s="169"/>
      <c r="AL412" s="169"/>
      <c r="AM412" s="169"/>
      <c r="AN412" s="169"/>
      <c r="AO412" s="169"/>
      <c r="AP412" s="169"/>
    </row>
    <row r="413" spans="5:42" x14ac:dyDescent="0.2">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c r="AA413" s="169"/>
      <c r="AB413" s="169"/>
      <c r="AC413" s="169"/>
      <c r="AD413" s="169"/>
      <c r="AE413" s="169"/>
      <c r="AF413" s="169"/>
      <c r="AG413" s="169"/>
      <c r="AH413" s="169"/>
      <c r="AI413" s="169"/>
      <c r="AJ413" s="169"/>
      <c r="AK413" s="169"/>
      <c r="AL413" s="169"/>
      <c r="AM413" s="169"/>
      <c r="AN413" s="169"/>
      <c r="AO413" s="169"/>
      <c r="AP413" s="169"/>
    </row>
    <row r="414" spans="5:42" x14ac:dyDescent="0.2">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c r="AA414" s="169"/>
      <c r="AB414" s="169"/>
      <c r="AC414" s="169"/>
      <c r="AD414" s="169"/>
      <c r="AE414" s="169"/>
      <c r="AF414" s="169"/>
      <c r="AG414" s="169"/>
      <c r="AH414" s="169"/>
      <c r="AI414" s="169"/>
      <c r="AJ414" s="169"/>
      <c r="AK414" s="169"/>
      <c r="AL414" s="169"/>
      <c r="AM414" s="169"/>
      <c r="AN414" s="169"/>
      <c r="AO414" s="169"/>
      <c r="AP414" s="169"/>
    </row>
    <row r="415" spans="5:42" x14ac:dyDescent="0.2">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c r="AA415" s="169"/>
      <c r="AB415" s="169"/>
      <c r="AC415" s="169"/>
      <c r="AD415" s="169"/>
      <c r="AE415" s="169"/>
      <c r="AF415" s="169"/>
      <c r="AG415" s="169"/>
      <c r="AH415" s="169"/>
      <c r="AI415" s="169"/>
      <c r="AJ415" s="169"/>
      <c r="AK415" s="169"/>
      <c r="AL415" s="169"/>
      <c r="AM415" s="169"/>
      <c r="AN415" s="169"/>
      <c r="AO415" s="169"/>
      <c r="AP415" s="169"/>
    </row>
    <row r="416" spans="5:42" x14ac:dyDescent="0.2">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c r="AA416" s="169"/>
      <c r="AB416" s="169"/>
      <c r="AC416" s="169"/>
      <c r="AD416" s="169"/>
      <c r="AE416" s="169"/>
      <c r="AF416" s="169"/>
      <c r="AG416" s="169"/>
      <c r="AH416" s="169"/>
      <c r="AI416" s="169"/>
      <c r="AJ416" s="169"/>
      <c r="AK416" s="169"/>
      <c r="AL416" s="169"/>
      <c r="AM416" s="169"/>
      <c r="AN416" s="169"/>
      <c r="AO416" s="169"/>
      <c r="AP416" s="169"/>
    </row>
    <row r="417" spans="5:42" x14ac:dyDescent="0.2">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c r="AA417" s="169"/>
      <c r="AB417" s="169"/>
      <c r="AC417" s="169"/>
      <c r="AD417" s="169"/>
      <c r="AE417" s="169"/>
      <c r="AF417" s="169"/>
      <c r="AG417" s="169"/>
      <c r="AH417" s="169"/>
      <c r="AI417" s="169"/>
      <c r="AJ417" s="169"/>
      <c r="AK417" s="169"/>
      <c r="AL417" s="169"/>
      <c r="AM417" s="169"/>
      <c r="AN417" s="169"/>
      <c r="AO417" s="169"/>
      <c r="AP417" s="169"/>
    </row>
    <row r="418" spans="5:42" x14ac:dyDescent="0.2">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c r="AA418" s="169"/>
      <c r="AB418" s="169"/>
      <c r="AC418" s="169"/>
      <c r="AD418" s="169"/>
      <c r="AE418" s="169"/>
      <c r="AF418" s="169"/>
      <c r="AG418" s="169"/>
      <c r="AH418" s="169"/>
      <c r="AI418" s="169"/>
      <c r="AJ418" s="169"/>
      <c r="AK418" s="169"/>
      <c r="AL418" s="169"/>
      <c r="AM418" s="169"/>
      <c r="AN418" s="169"/>
      <c r="AO418" s="169"/>
      <c r="AP418" s="169"/>
    </row>
    <row r="419" spans="5:42" x14ac:dyDescent="0.2">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c r="AA419" s="169"/>
      <c r="AB419" s="169"/>
      <c r="AC419" s="169"/>
      <c r="AD419" s="169"/>
      <c r="AE419" s="169"/>
      <c r="AF419" s="169"/>
      <c r="AG419" s="169"/>
      <c r="AH419" s="169"/>
      <c r="AI419" s="169"/>
      <c r="AJ419" s="169"/>
      <c r="AK419" s="169"/>
      <c r="AL419" s="169"/>
      <c r="AM419" s="169"/>
      <c r="AN419" s="169"/>
      <c r="AO419" s="169"/>
      <c r="AP419" s="169"/>
    </row>
    <row r="420" spans="5:42" x14ac:dyDescent="0.2">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c r="AA420" s="169"/>
      <c r="AB420" s="169"/>
      <c r="AC420" s="169"/>
      <c r="AD420" s="169"/>
      <c r="AE420" s="169"/>
      <c r="AF420" s="169"/>
      <c r="AG420" s="169"/>
      <c r="AH420" s="169"/>
      <c r="AI420" s="169"/>
      <c r="AJ420" s="169"/>
      <c r="AK420" s="169"/>
      <c r="AL420" s="169"/>
      <c r="AM420" s="169"/>
      <c r="AN420" s="169"/>
      <c r="AO420" s="169"/>
      <c r="AP420" s="169"/>
    </row>
    <row r="421" spans="5:42" x14ac:dyDescent="0.2">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c r="AA421" s="169"/>
      <c r="AB421" s="169"/>
      <c r="AC421" s="169"/>
      <c r="AD421" s="169"/>
      <c r="AE421" s="169"/>
      <c r="AF421" s="169"/>
      <c r="AG421" s="169"/>
      <c r="AH421" s="169"/>
      <c r="AI421" s="169"/>
      <c r="AJ421" s="169"/>
      <c r="AK421" s="169"/>
      <c r="AL421" s="169"/>
      <c r="AM421" s="169"/>
      <c r="AN421" s="169"/>
      <c r="AO421" s="169"/>
      <c r="AP421" s="169"/>
    </row>
    <row r="422" spans="5:42" x14ac:dyDescent="0.2">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c r="AA422" s="169"/>
      <c r="AB422" s="169"/>
      <c r="AC422" s="169"/>
      <c r="AD422" s="169"/>
      <c r="AE422" s="169"/>
      <c r="AF422" s="169"/>
      <c r="AG422" s="169"/>
      <c r="AH422" s="169"/>
      <c r="AI422" s="169"/>
      <c r="AJ422" s="169"/>
      <c r="AK422" s="169"/>
      <c r="AL422" s="169"/>
      <c r="AM422" s="169"/>
      <c r="AN422" s="169"/>
      <c r="AO422" s="169"/>
      <c r="AP422" s="169"/>
    </row>
    <row r="423" spans="5:42" x14ac:dyDescent="0.2">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c r="AA423" s="169"/>
      <c r="AB423" s="169"/>
      <c r="AC423" s="169"/>
      <c r="AD423" s="169"/>
      <c r="AE423" s="169"/>
      <c r="AF423" s="169"/>
      <c r="AG423" s="169"/>
      <c r="AH423" s="169"/>
      <c r="AI423" s="169"/>
      <c r="AJ423" s="169"/>
      <c r="AK423" s="169"/>
      <c r="AL423" s="169"/>
      <c r="AM423" s="169"/>
      <c r="AN423" s="169"/>
      <c r="AO423" s="169"/>
      <c r="AP423" s="169"/>
    </row>
    <row r="424" spans="5:42" x14ac:dyDescent="0.2">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c r="AA424" s="169"/>
      <c r="AB424" s="169"/>
      <c r="AC424" s="169"/>
      <c r="AD424" s="169"/>
      <c r="AE424" s="169"/>
      <c r="AF424" s="169"/>
      <c r="AG424" s="169"/>
      <c r="AH424" s="169"/>
      <c r="AI424" s="169"/>
      <c r="AJ424" s="169"/>
      <c r="AK424" s="169"/>
      <c r="AL424" s="169"/>
      <c r="AM424" s="169"/>
      <c r="AN424" s="169"/>
      <c r="AO424" s="169"/>
      <c r="AP424" s="169"/>
    </row>
    <row r="425" spans="5:42" x14ac:dyDescent="0.2">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c r="AA425" s="169"/>
      <c r="AB425" s="169"/>
      <c r="AC425" s="169"/>
      <c r="AD425" s="169"/>
      <c r="AE425" s="169"/>
      <c r="AF425" s="169"/>
      <c r="AG425" s="169"/>
      <c r="AH425" s="169"/>
      <c r="AI425" s="169"/>
      <c r="AJ425" s="169"/>
      <c r="AK425" s="169"/>
      <c r="AL425" s="169"/>
      <c r="AM425" s="169"/>
      <c r="AN425" s="169"/>
      <c r="AO425" s="169"/>
      <c r="AP425" s="169"/>
    </row>
    <row r="426" spans="5:42" x14ac:dyDescent="0.2">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c r="AA426" s="169"/>
      <c r="AB426" s="169"/>
      <c r="AC426" s="169"/>
      <c r="AD426" s="169"/>
      <c r="AE426" s="169"/>
      <c r="AF426" s="169"/>
      <c r="AG426" s="169"/>
      <c r="AH426" s="169"/>
      <c r="AI426" s="169"/>
      <c r="AJ426" s="169"/>
      <c r="AK426" s="169"/>
      <c r="AL426" s="169"/>
      <c r="AM426" s="169"/>
      <c r="AN426" s="169"/>
      <c r="AO426" s="169"/>
      <c r="AP426" s="169"/>
    </row>
    <row r="427" spans="5:42" x14ac:dyDescent="0.2">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c r="AA427" s="169"/>
      <c r="AB427" s="169"/>
      <c r="AC427" s="169"/>
      <c r="AD427" s="169"/>
      <c r="AE427" s="169"/>
      <c r="AF427" s="169"/>
      <c r="AG427" s="169"/>
      <c r="AH427" s="169"/>
      <c r="AI427" s="169"/>
      <c r="AJ427" s="169"/>
      <c r="AK427" s="169"/>
      <c r="AL427" s="169"/>
      <c r="AM427" s="169"/>
      <c r="AN427" s="169"/>
      <c r="AO427" s="169"/>
      <c r="AP427" s="169"/>
    </row>
    <row r="428" spans="5:42" x14ac:dyDescent="0.2">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c r="AA428" s="169"/>
      <c r="AB428" s="169"/>
      <c r="AC428" s="169"/>
      <c r="AD428" s="169"/>
      <c r="AE428" s="169"/>
      <c r="AF428" s="169"/>
      <c r="AG428" s="169"/>
      <c r="AH428" s="169"/>
      <c r="AI428" s="169"/>
      <c r="AJ428" s="169"/>
      <c r="AK428" s="169"/>
      <c r="AL428" s="169"/>
      <c r="AM428" s="169"/>
      <c r="AN428" s="169"/>
      <c r="AO428" s="169"/>
      <c r="AP428" s="169"/>
    </row>
    <row r="429" spans="5:42" x14ac:dyDescent="0.2">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c r="AA429" s="169"/>
      <c r="AB429" s="169"/>
      <c r="AC429" s="169"/>
      <c r="AD429" s="169"/>
      <c r="AE429" s="169"/>
      <c r="AF429" s="169"/>
      <c r="AG429" s="169"/>
      <c r="AH429" s="169"/>
      <c r="AI429" s="169"/>
      <c r="AJ429" s="169"/>
      <c r="AK429" s="169"/>
      <c r="AL429" s="169"/>
      <c r="AM429" s="169"/>
      <c r="AN429" s="169"/>
      <c r="AO429" s="169"/>
      <c r="AP429" s="169"/>
    </row>
    <row r="430" spans="5:42" x14ac:dyDescent="0.2">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c r="AA430" s="169"/>
      <c r="AB430" s="169"/>
      <c r="AC430" s="169"/>
      <c r="AD430" s="169"/>
      <c r="AE430" s="169"/>
      <c r="AF430" s="169"/>
      <c r="AG430" s="169"/>
      <c r="AH430" s="169"/>
      <c r="AI430" s="169"/>
      <c r="AJ430" s="169"/>
      <c r="AK430" s="169"/>
      <c r="AL430" s="169"/>
      <c r="AM430" s="169"/>
      <c r="AN430" s="169"/>
      <c r="AO430" s="169"/>
      <c r="AP430" s="169"/>
    </row>
    <row r="431" spans="5:42" x14ac:dyDescent="0.2">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c r="AA431" s="169"/>
      <c r="AB431" s="169"/>
      <c r="AC431" s="169"/>
      <c r="AD431" s="169"/>
      <c r="AE431" s="169"/>
      <c r="AF431" s="169"/>
      <c r="AG431" s="169"/>
      <c r="AH431" s="169"/>
      <c r="AI431" s="169"/>
      <c r="AJ431" s="169"/>
      <c r="AK431" s="169"/>
      <c r="AL431" s="169"/>
      <c r="AM431" s="169"/>
      <c r="AN431" s="169"/>
      <c r="AO431" s="169"/>
      <c r="AP431" s="169"/>
    </row>
    <row r="432" spans="5:42" x14ac:dyDescent="0.2">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c r="AA432" s="169"/>
      <c r="AB432" s="169"/>
      <c r="AC432" s="169"/>
      <c r="AD432" s="169"/>
      <c r="AE432" s="169"/>
      <c r="AF432" s="169"/>
      <c r="AG432" s="169"/>
      <c r="AH432" s="169"/>
      <c r="AI432" s="169"/>
      <c r="AJ432" s="169"/>
      <c r="AK432" s="169"/>
      <c r="AL432" s="169"/>
      <c r="AM432" s="169"/>
      <c r="AN432" s="169"/>
      <c r="AO432" s="169"/>
      <c r="AP432" s="169"/>
    </row>
    <row r="433" spans="5:42" x14ac:dyDescent="0.2">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c r="AA433" s="169"/>
      <c r="AB433" s="169"/>
      <c r="AC433" s="169"/>
      <c r="AD433" s="169"/>
      <c r="AE433" s="169"/>
      <c r="AF433" s="169"/>
      <c r="AG433" s="169"/>
      <c r="AH433" s="169"/>
      <c r="AI433" s="169"/>
      <c r="AJ433" s="169"/>
      <c r="AK433" s="169"/>
      <c r="AL433" s="169"/>
      <c r="AM433" s="169"/>
      <c r="AN433" s="169"/>
      <c r="AO433" s="169"/>
      <c r="AP433" s="169"/>
    </row>
    <row r="434" spans="5:42" x14ac:dyDescent="0.2">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c r="AA434" s="169"/>
      <c r="AB434" s="169"/>
      <c r="AC434" s="169"/>
      <c r="AD434" s="169"/>
      <c r="AE434" s="169"/>
      <c r="AF434" s="169"/>
      <c r="AG434" s="169"/>
      <c r="AH434" s="169"/>
      <c r="AI434" s="169"/>
      <c r="AJ434" s="169"/>
      <c r="AK434" s="169"/>
      <c r="AL434" s="169"/>
      <c r="AM434" s="169"/>
      <c r="AN434" s="169"/>
      <c r="AO434" s="169"/>
      <c r="AP434" s="169"/>
    </row>
    <row r="435" spans="5:42" x14ac:dyDescent="0.2">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c r="AA435" s="169"/>
      <c r="AB435" s="169"/>
      <c r="AC435" s="169"/>
      <c r="AD435" s="169"/>
      <c r="AE435" s="169"/>
      <c r="AF435" s="169"/>
      <c r="AG435" s="169"/>
      <c r="AH435" s="169"/>
      <c r="AI435" s="169"/>
      <c r="AJ435" s="169"/>
      <c r="AK435" s="169"/>
      <c r="AL435" s="169"/>
      <c r="AM435" s="169"/>
      <c r="AN435" s="169"/>
      <c r="AO435" s="169"/>
      <c r="AP435" s="169"/>
    </row>
    <row r="436" spans="5:42" x14ac:dyDescent="0.2">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c r="AC436" s="169"/>
      <c r="AD436" s="169"/>
      <c r="AE436" s="169"/>
      <c r="AF436" s="169"/>
      <c r="AG436" s="169"/>
      <c r="AH436" s="169"/>
      <c r="AI436" s="169"/>
      <c r="AJ436" s="169"/>
      <c r="AK436" s="169"/>
      <c r="AL436" s="169"/>
      <c r="AM436" s="169"/>
      <c r="AN436" s="169"/>
      <c r="AO436" s="169"/>
      <c r="AP436" s="169"/>
    </row>
    <row r="437" spans="5:42" x14ac:dyDescent="0.2">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c r="AA437" s="169"/>
      <c r="AB437" s="169"/>
      <c r="AC437" s="169"/>
      <c r="AD437" s="169"/>
      <c r="AE437" s="169"/>
      <c r="AF437" s="169"/>
      <c r="AG437" s="169"/>
      <c r="AH437" s="169"/>
      <c r="AI437" s="169"/>
      <c r="AJ437" s="169"/>
      <c r="AK437" s="169"/>
      <c r="AL437" s="169"/>
      <c r="AM437" s="169"/>
      <c r="AN437" s="169"/>
      <c r="AO437" s="169"/>
      <c r="AP437" s="169"/>
    </row>
    <row r="438" spans="5:42" x14ac:dyDescent="0.2">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c r="AC438" s="169"/>
      <c r="AD438" s="169"/>
      <c r="AE438" s="169"/>
      <c r="AF438" s="169"/>
      <c r="AG438" s="169"/>
      <c r="AH438" s="169"/>
      <c r="AI438" s="169"/>
      <c r="AJ438" s="169"/>
      <c r="AK438" s="169"/>
      <c r="AL438" s="169"/>
      <c r="AM438" s="169"/>
      <c r="AN438" s="169"/>
      <c r="AO438" s="169"/>
      <c r="AP438" s="169"/>
    </row>
    <row r="439" spans="5:42" x14ac:dyDescent="0.2">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c r="AA439" s="169"/>
      <c r="AB439" s="169"/>
      <c r="AC439" s="169"/>
      <c r="AD439" s="169"/>
      <c r="AE439" s="169"/>
      <c r="AF439" s="169"/>
      <c r="AG439" s="169"/>
      <c r="AH439" s="169"/>
      <c r="AI439" s="169"/>
      <c r="AJ439" s="169"/>
      <c r="AK439" s="169"/>
      <c r="AL439" s="169"/>
      <c r="AM439" s="169"/>
      <c r="AN439" s="169"/>
      <c r="AO439" s="169"/>
      <c r="AP439" s="169"/>
    </row>
    <row r="440" spans="5:42" x14ac:dyDescent="0.2">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c r="AA440" s="169"/>
      <c r="AB440" s="169"/>
      <c r="AC440" s="169"/>
      <c r="AD440" s="169"/>
      <c r="AE440" s="169"/>
      <c r="AF440" s="169"/>
      <c r="AG440" s="169"/>
      <c r="AH440" s="169"/>
      <c r="AI440" s="169"/>
      <c r="AJ440" s="169"/>
      <c r="AK440" s="169"/>
      <c r="AL440" s="169"/>
      <c r="AM440" s="169"/>
      <c r="AN440" s="169"/>
      <c r="AO440" s="169"/>
      <c r="AP440" s="169"/>
    </row>
    <row r="441" spans="5:42" x14ac:dyDescent="0.2">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c r="AA441" s="169"/>
      <c r="AB441" s="169"/>
      <c r="AC441" s="169"/>
      <c r="AD441" s="169"/>
      <c r="AE441" s="169"/>
      <c r="AF441" s="169"/>
      <c r="AG441" s="169"/>
      <c r="AH441" s="169"/>
      <c r="AI441" s="169"/>
      <c r="AJ441" s="169"/>
      <c r="AK441" s="169"/>
      <c r="AL441" s="169"/>
      <c r="AM441" s="169"/>
      <c r="AN441" s="169"/>
      <c r="AO441" s="169"/>
      <c r="AP441" s="169"/>
    </row>
    <row r="442" spans="5:42" x14ac:dyDescent="0.2">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c r="AA442" s="169"/>
      <c r="AB442" s="169"/>
      <c r="AC442" s="169"/>
      <c r="AD442" s="169"/>
      <c r="AE442" s="169"/>
      <c r="AF442" s="169"/>
      <c r="AG442" s="169"/>
      <c r="AH442" s="169"/>
      <c r="AI442" s="169"/>
      <c r="AJ442" s="169"/>
      <c r="AK442" s="169"/>
      <c r="AL442" s="169"/>
      <c r="AM442" s="169"/>
      <c r="AN442" s="169"/>
      <c r="AO442" s="169"/>
      <c r="AP442" s="169"/>
    </row>
    <row r="443" spans="5:42" x14ac:dyDescent="0.2">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c r="AA443" s="169"/>
      <c r="AB443" s="169"/>
      <c r="AC443" s="169"/>
      <c r="AD443" s="169"/>
      <c r="AE443" s="169"/>
      <c r="AF443" s="169"/>
      <c r="AG443" s="169"/>
      <c r="AH443" s="169"/>
      <c r="AI443" s="169"/>
      <c r="AJ443" s="169"/>
      <c r="AK443" s="169"/>
      <c r="AL443" s="169"/>
      <c r="AM443" s="169"/>
      <c r="AN443" s="169"/>
      <c r="AO443" s="169"/>
      <c r="AP443" s="169"/>
    </row>
    <row r="444" spans="5:42" x14ac:dyDescent="0.2">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c r="AA444" s="169"/>
      <c r="AB444" s="169"/>
      <c r="AC444" s="169"/>
      <c r="AD444" s="169"/>
      <c r="AE444" s="169"/>
      <c r="AF444" s="169"/>
      <c r="AG444" s="169"/>
      <c r="AH444" s="169"/>
      <c r="AI444" s="169"/>
      <c r="AJ444" s="169"/>
      <c r="AK444" s="169"/>
      <c r="AL444" s="169"/>
      <c r="AM444" s="169"/>
      <c r="AN444" s="169"/>
      <c r="AO444" s="169"/>
      <c r="AP444" s="169"/>
    </row>
    <row r="445" spans="5:42" x14ac:dyDescent="0.2">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c r="AA445" s="169"/>
      <c r="AB445" s="169"/>
      <c r="AC445" s="169"/>
      <c r="AD445" s="169"/>
      <c r="AE445" s="169"/>
      <c r="AF445" s="169"/>
      <c r="AG445" s="169"/>
      <c r="AH445" s="169"/>
      <c r="AI445" s="169"/>
      <c r="AJ445" s="169"/>
      <c r="AK445" s="169"/>
      <c r="AL445" s="169"/>
      <c r="AM445" s="169"/>
      <c r="AN445" s="169"/>
      <c r="AO445" s="169"/>
      <c r="AP445" s="169"/>
    </row>
    <row r="446" spans="5:42" x14ac:dyDescent="0.2">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c r="AA446" s="169"/>
      <c r="AB446" s="169"/>
      <c r="AC446" s="169"/>
      <c r="AD446" s="169"/>
      <c r="AE446" s="169"/>
      <c r="AF446" s="169"/>
      <c r="AG446" s="169"/>
      <c r="AH446" s="169"/>
      <c r="AI446" s="169"/>
      <c r="AJ446" s="169"/>
      <c r="AK446" s="169"/>
      <c r="AL446" s="169"/>
      <c r="AM446" s="169"/>
      <c r="AN446" s="169"/>
      <c r="AO446" s="169"/>
      <c r="AP446" s="169"/>
    </row>
    <row r="447" spans="5:42" x14ac:dyDescent="0.2">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c r="AA447" s="169"/>
      <c r="AB447" s="169"/>
      <c r="AC447" s="169"/>
      <c r="AD447" s="169"/>
      <c r="AE447" s="169"/>
      <c r="AF447" s="169"/>
      <c r="AG447" s="169"/>
      <c r="AH447" s="169"/>
      <c r="AI447" s="169"/>
      <c r="AJ447" s="169"/>
      <c r="AK447" s="169"/>
      <c r="AL447" s="169"/>
      <c r="AM447" s="169"/>
      <c r="AN447" s="169"/>
      <c r="AO447" s="169"/>
      <c r="AP447" s="169"/>
    </row>
    <row r="448" spans="5:42" x14ac:dyDescent="0.2">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c r="AA448" s="169"/>
      <c r="AB448" s="169"/>
      <c r="AC448" s="169"/>
      <c r="AD448" s="169"/>
      <c r="AE448" s="169"/>
      <c r="AF448" s="169"/>
      <c r="AG448" s="169"/>
      <c r="AH448" s="169"/>
      <c r="AI448" s="169"/>
      <c r="AJ448" s="169"/>
      <c r="AK448" s="169"/>
      <c r="AL448" s="169"/>
      <c r="AM448" s="169"/>
      <c r="AN448" s="169"/>
      <c r="AO448" s="169"/>
      <c r="AP448" s="169"/>
    </row>
    <row r="449" spans="5:42" x14ac:dyDescent="0.2">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c r="AA449" s="169"/>
      <c r="AB449" s="169"/>
      <c r="AC449" s="169"/>
      <c r="AD449" s="169"/>
      <c r="AE449" s="169"/>
      <c r="AF449" s="169"/>
      <c r="AG449" s="169"/>
      <c r="AH449" s="169"/>
      <c r="AI449" s="169"/>
      <c r="AJ449" s="169"/>
      <c r="AK449" s="169"/>
      <c r="AL449" s="169"/>
      <c r="AM449" s="169"/>
      <c r="AN449" s="169"/>
      <c r="AO449" s="169"/>
      <c r="AP449" s="169"/>
    </row>
    <row r="450" spans="5:42" x14ac:dyDescent="0.2">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c r="AA450" s="169"/>
      <c r="AB450" s="169"/>
      <c r="AC450" s="169"/>
      <c r="AD450" s="169"/>
      <c r="AE450" s="169"/>
      <c r="AF450" s="169"/>
      <c r="AG450" s="169"/>
      <c r="AH450" s="169"/>
      <c r="AI450" s="169"/>
      <c r="AJ450" s="169"/>
      <c r="AK450" s="169"/>
      <c r="AL450" s="169"/>
      <c r="AM450" s="169"/>
      <c r="AN450" s="169"/>
      <c r="AO450" s="169"/>
      <c r="AP450" s="169"/>
    </row>
    <row r="451" spans="5:42" x14ac:dyDescent="0.2">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c r="AA451" s="169"/>
      <c r="AB451" s="169"/>
      <c r="AC451" s="169"/>
      <c r="AD451" s="169"/>
      <c r="AE451" s="169"/>
      <c r="AF451" s="169"/>
      <c r="AG451" s="169"/>
      <c r="AH451" s="169"/>
      <c r="AI451" s="169"/>
      <c r="AJ451" s="169"/>
      <c r="AK451" s="169"/>
      <c r="AL451" s="169"/>
      <c r="AM451" s="169"/>
      <c r="AN451" s="169"/>
      <c r="AO451" s="169"/>
      <c r="AP451" s="169"/>
    </row>
    <row r="452" spans="5:42" x14ac:dyDescent="0.2">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c r="AA452" s="169"/>
      <c r="AB452" s="169"/>
      <c r="AC452" s="169"/>
      <c r="AD452" s="169"/>
      <c r="AE452" s="169"/>
      <c r="AF452" s="169"/>
      <c r="AG452" s="169"/>
      <c r="AH452" s="169"/>
      <c r="AI452" s="169"/>
      <c r="AJ452" s="169"/>
      <c r="AK452" s="169"/>
      <c r="AL452" s="169"/>
      <c r="AM452" s="169"/>
      <c r="AN452" s="169"/>
      <c r="AO452" s="169"/>
      <c r="AP452" s="169"/>
    </row>
    <row r="453" spans="5:42" x14ac:dyDescent="0.2">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c r="AA453" s="169"/>
      <c r="AB453" s="169"/>
      <c r="AC453" s="169"/>
      <c r="AD453" s="169"/>
      <c r="AE453" s="169"/>
      <c r="AF453" s="169"/>
      <c r="AG453" s="169"/>
      <c r="AH453" s="169"/>
      <c r="AI453" s="169"/>
      <c r="AJ453" s="169"/>
      <c r="AK453" s="169"/>
      <c r="AL453" s="169"/>
      <c r="AM453" s="169"/>
      <c r="AN453" s="169"/>
      <c r="AO453" s="169"/>
      <c r="AP453" s="169"/>
    </row>
    <row r="454" spans="5:42" x14ac:dyDescent="0.2">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c r="AA454" s="169"/>
      <c r="AB454" s="169"/>
      <c r="AC454" s="169"/>
      <c r="AD454" s="169"/>
      <c r="AE454" s="169"/>
      <c r="AF454" s="169"/>
      <c r="AG454" s="169"/>
      <c r="AH454" s="169"/>
      <c r="AI454" s="169"/>
      <c r="AJ454" s="169"/>
      <c r="AK454" s="169"/>
      <c r="AL454" s="169"/>
      <c r="AM454" s="169"/>
      <c r="AN454" s="169"/>
      <c r="AO454" s="169"/>
      <c r="AP454" s="169"/>
    </row>
    <row r="455" spans="5:42" x14ac:dyDescent="0.2">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c r="AA455" s="169"/>
      <c r="AB455" s="169"/>
      <c r="AC455" s="169"/>
      <c r="AD455" s="169"/>
      <c r="AE455" s="169"/>
      <c r="AF455" s="169"/>
      <c r="AG455" s="169"/>
      <c r="AH455" s="169"/>
      <c r="AI455" s="169"/>
      <c r="AJ455" s="169"/>
      <c r="AK455" s="169"/>
      <c r="AL455" s="169"/>
      <c r="AM455" s="169"/>
      <c r="AN455" s="169"/>
      <c r="AO455" s="169"/>
      <c r="AP455" s="169"/>
    </row>
    <row r="456" spans="5:42" x14ac:dyDescent="0.2">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c r="AA456" s="169"/>
      <c r="AB456" s="169"/>
      <c r="AC456" s="169"/>
      <c r="AD456" s="169"/>
      <c r="AE456" s="169"/>
      <c r="AF456" s="169"/>
      <c r="AG456" s="169"/>
      <c r="AH456" s="169"/>
      <c r="AI456" s="169"/>
      <c r="AJ456" s="169"/>
      <c r="AK456" s="169"/>
      <c r="AL456" s="169"/>
      <c r="AM456" s="169"/>
      <c r="AN456" s="169"/>
      <c r="AO456" s="169"/>
      <c r="AP456" s="169"/>
    </row>
    <row r="457" spans="5:42" x14ac:dyDescent="0.2">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c r="AA457" s="169"/>
      <c r="AB457" s="169"/>
      <c r="AC457" s="169"/>
      <c r="AD457" s="169"/>
      <c r="AE457" s="169"/>
      <c r="AF457" s="169"/>
      <c r="AG457" s="169"/>
      <c r="AH457" s="169"/>
      <c r="AI457" s="169"/>
      <c r="AJ457" s="169"/>
      <c r="AK457" s="169"/>
      <c r="AL457" s="169"/>
      <c r="AM457" s="169"/>
      <c r="AN457" s="169"/>
      <c r="AO457" s="169"/>
      <c r="AP457" s="169"/>
    </row>
    <row r="458" spans="5:42" x14ac:dyDescent="0.2">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c r="AA458" s="169"/>
      <c r="AB458" s="169"/>
      <c r="AC458" s="169"/>
      <c r="AD458" s="169"/>
      <c r="AE458" s="169"/>
      <c r="AF458" s="169"/>
      <c r="AG458" s="169"/>
      <c r="AH458" s="169"/>
      <c r="AI458" s="169"/>
      <c r="AJ458" s="169"/>
      <c r="AK458" s="169"/>
      <c r="AL458" s="169"/>
      <c r="AM458" s="169"/>
      <c r="AN458" s="169"/>
      <c r="AO458" s="169"/>
      <c r="AP458" s="169"/>
    </row>
    <row r="459" spans="5:42" x14ac:dyDescent="0.2">
      <c r="E459" s="169"/>
      <c r="F459" s="169"/>
      <c r="G459" s="169"/>
      <c r="H459" s="169"/>
      <c r="I459" s="169"/>
      <c r="J459" s="169"/>
      <c r="K459" s="169"/>
      <c r="L459" s="169"/>
      <c r="M459" s="169"/>
      <c r="N459" s="169"/>
      <c r="O459" s="169"/>
      <c r="P459" s="169"/>
      <c r="Q459" s="169"/>
      <c r="R459" s="169"/>
      <c r="S459" s="169"/>
      <c r="T459" s="169"/>
      <c r="U459" s="169"/>
      <c r="V459" s="169"/>
      <c r="W459" s="169"/>
      <c r="X459" s="169"/>
      <c r="Y459" s="169"/>
      <c r="Z459" s="169"/>
      <c r="AA459" s="169"/>
      <c r="AB459" s="169"/>
      <c r="AC459" s="169"/>
      <c r="AD459" s="169"/>
      <c r="AE459" s="169"/>
      <c r="AF459" s="169"/>
      <c r="AG459" s="169"/>
      <c r="AH459" s="169"/>
      <c r="AI459" s="169"/>
      <c r="AJ459" s="169"/>
      <c r="AK459" s="169"/>
      <c r="AL459" s="169"/>
      <c r="AM459" s="169"/>
      <c r="AN459" s="169"/>
      <c r="AO459" s="169"/>
      <c r="AP459" s="169"/>
    </row>
    <row r="460" spans="5:42" x14ac:dyDescent="0.2">
      <c r="E460" s="169"/>
      <c r="F460" s="169"/>
      <c r="G460" s="169"/>
      <c r="H460" s="169"/>
      <c r="I460" s="169"/>
      <c r="J460" s="169"/>
      <c r="K460" s="169"/>
      <c r="L460" s="169"/>
      <c r="M460" s="169"/>
      <c r="N460" s="169"/>
      <c r="O460" s="169"/>
      <c r="P460" s="169"/>
      <c r="Q460" s="169"/>
      <c r="R460" s="169"/>
      <c r="S460" s="169"/>
      <c r="T460" s="169"/>
      <c r="U460" s="169"/>
      <c r="V460" s="169"/>
      <c r="W460" s="169"/>
      <c r="X460" s="169"/>
      <c r="Y460" s="169"/>
      <c r="Z460" s="169"/>
      <c r="AA460" s="169"/>
      <c r="AB460" s="169"/>
      <c r="AC460" s="169"/>
      <c r="AD460" s="169"/>
      <c r="AE460" s="169"/>
      <c r="AF460" s="169"/>
      <c r="AG460" s="169"/>
      <c r="AH460" s="169"/>
      <c r="AI460" s="169"/>
      <c r="AJ460" s="169"/>
      <c r="AK460" s="169"/>
      <c r="AL460" s="169"/>
      <c r="AM460" s="169"/>
      <c r="AN460" s="169"/>
      <c r="AO460" s="169"/>
      <c r="AP460" s="169"/>
    </row>
    <row r="461" spans="5:42" x14ac:dyDescent="0.2">
      <c r="E461" s="169"/>
      <c r="F461" s="169"/>
      <c r="G461" s="169"/>
      <c r="H461" s="169"/>
      <c r="I461" s="169"/>
      <c r="J461" s="169"/>
      <c r="K461" s="169"/>
      <c r="L461" s="169"/>
      <c r="M461" s="169"/>
      <c r="N461" s="169"/>
      <c r="O461" s="169"/>
      <c r="P461" s="169"/>
      <c r="Q461" s="169"/>
      <c r="R461" s="169"/>
      <c r="S461" s="169"/>
      <c r="T461" s="169"/>
      <c r="U461" s="169"/>
      <c r="V461" s="169"/>
      <c r="W461" s="169"/>
      <c r="X461" s="169"/>
      <c r="Y461" s="169"/>
      <c r="Z461" s="169"/>
      <c r="AA461" s="169"/>
      <c r="AB461" s="169"/>
      <c r="AC461" s="169"/>
      <c r="AD461" s="169"/>
      <c r="AE461" s="169"/>
      <c r="AF461" s="169"/>
      <c r="AG461" s="169"/>
      <c r="AH461" s="169"/>
      <c r="AI461" s="169"/>
      <c r="AJ461" s="169"/>
      <c r="AK461" s="169"/>
      <c r="AL461" s="169"/>
      <c r="AM461" s="169"/>
      <c r="AN461" s="169"/>
      <c r="AO461" s="169"/>
      <c r="AP461" s="169"/>
    </row>
    <row r="462" spans="5:42" x14ac:dyDescent="0.2">
      <c r="E462" s="169"/>
      <c r="F462" s="169"/>
      <c r="G462" s="169"/>
      <c r="H462" s="169"/>
      <c r="I462" s="169"/>
      <c r="J462" s="169"/>
      <c r="K462" s="169"/>
      <c r="L462" s="169"/>
      <c r="M462" s="169"/>
      <c r="N462" s="169"/>
      <c r="O462" s="169"/>
      <c r="P462" s="169"/>
      <c r="Q462" s="169"/>
      <c r="R462" s="169"/>
      <c r="S462" s="169"/>
      <c r="T462" s="169"/>
      <c r="U462" s="169"/>
      <c r="V462" s="169"/>
      <c r="W462" s="169"/>
      <c r="X462" s="169"/>
      <c r="Y462" s="169"/>
      <c r="Z462" s="169"/>
      <c r="AA462" s="169"/>
      <c r="AB462" s="169"/>
      <c r="AC462" s="169"/>
      <c r="AD462" s="169"/>
      <c r="AE462" s="169"/>
      <c r="AF462" s="169"/>
      <c r="AG462" s="169"/>
      <c r="AH462" s="169"/>
      <c r="AI462" s="169"/>
      <c r="AJ462" s="169"/>
      <c r="AK462" s="169"/>
      <c r="AL462" s="169"/>
      <c r="AM462" s="169"/>
      <c r="AN462" s="169"/>
      <c r="AO462" s="169"/>
      <c r="AP462" s="169"/>
    </row>
    <row r="463" spans="5:42" x14ac:dyDescent="0.2">
      <c r="E463" s="169"/>
      <c r="F463" s="169"/>
      <c r="G463" s="169"/>
      <c r="H463" s="169"/>
      <c r="I463" s="169"/>
      <c r="J463" s="169"/>
      <c r="K463" s="169"/>
      <c r="L463" s="169"/>
      <c r="M463" s="169"/>
      <c r="N463" s="169"/>
      <c r="O463" s="169"/>
      <c r="P463" s="169"/>
      <c r="Q463" s="169"/>
      <c r="R463" s="169"/>
      <c r="S463" s="169"/>
      <c r="T463" s="169"/>
      <c r="U463" s="169"/>
      <c r="V463" s="169"/>
      <c r="W463" s="169"/>
      <c r="X463" s="169"/>
      <c r="Y463" s="169"/>
      <c r="Z463" s="169"/>
      <c r="AA463" s="169"/>
      <c r="AB463" s="169"/>
      <c r="AC463" s="169"/>
      <c r="AD463" s="169"/>
      <c r="AE463" s="169"/>
      <c r="AF463" s="169"/>
      <c r="AG463" s="169"/>
      <c r="AH463" s="169"/>
      <c r="AI463" s="169"/>
      <c r="AJ463" s="169"/>
      <c r="AK463" s="169"/>
      <c r="AL463" s="169"/>
      <c r="AM463" s="169"/>
      <c r="AN463" s="169"/>
      <c r="AO463" s="169"/>
      <c r="AP463" s="169"/>
    </row>
    <row r="464" spans="5:42" x14ac:dyDescent="0.2">
      <c r="E464" s="169"/>
      <c r="F464" s="169"/>
      <c r="G464" s="169"/>
      <c r="H464" s="169"/>
      <c r="I464" s="169"/>
      <c r="J464" s="169"/>
      <c r="K464" s="169"/>
      <c r="L464" s="169"/>
      <c r="M464" s="169"/>
      <c r="N464" s="169"/>
      <c r="O464" s="169"/>
      <c r="P464" s="169"/>
      <c r="Q464" s="169"/>
      <c r="R464" s="169"/>
      <c r="S464" s="169"/>
      <c r="T464" s="169"/>
      <c r="U464" s="169"/>
      <c r="V464" s="169"/>
      <c r="W464" s="169"/>
      <c r="X464" s="169"/>
      <c r="Y464" s="169"/>
      <c r="Z464" s="169"/>
      <c r="AA464" s="169"/>
      <c r="AB464" s="169"/>
      <c r="AC464" s="169"/>
      <c r="AD464" s="169"/>
      <c r="AE464" s="169"/>
      <c r="AF464" s="169"/>
      <c r="AG464" s="169"/>
      <c r="AH464" s="169"/>
      <c r="AI464" s="169"/>
      <c r="AJ464" s="169"/>
      <c r="AK464" s="169"/>
      <c r="AL464" s="169"/>
      <c r="AM464" s="169"/>
      <c r="AN464" s="169"/>
      <c r="AO464" s="169"/>
      <c r="AP464" s="169"/>
    </row>
    <row r="465" spans="5:42" x14ac:dyDescent="0.2">
      <c r="E465" s="169"/>
      <c r="F465" s="169"/>
      <c r="G465" s="169"/>
      <c r="H465" s="169"/>
      <c r="I465" s="169"/>
      <c r="J465" s="169"/>
      <c r="K465" s="169"/>
      <c r="L465" s="169"/>
      <c r="M465" s="169"/>
      <c r="N465" s="169"/>
      <c r="O465" s="169"/>
      <c r="P465" s="169"/>
      <c r="Q465" s="169"/>
      <c r="R465" s="169"/>
      <c r="S465" s="169"/>
      <c r="T465" s="169"/>
      <c r="U465" s="169"/>
      <c r="V465" s="169"/>
      <c r="W465" s="169"/>
      <c r="X465" s="169"/>
      <c r="Y465" s="169"/>
      <c r="Z465" s="169"/>
      <c r="AA465" s="169"/>
      <c r="AB465" s="169"/>
      <c r="AC465" s="169"/>
      <c r="AD465" s="169"/>
      <c r="AE465" s="169"/>
      <c r="AF465" s="169"/>
      <c r="AG465" s="169"/>
      <c r="AH465" s="169"/>
      <c r="AI465" s="169"/>
      <c r="AJ465" s="169"/>
      <c r="AK465" s="169"/>
      <c r="AL465" s="169"/>
      <c r="AM465" s="169"/>
      <c r="AN465" s="169"/>
      <c r="AO465" s="169"/>
      <c r="AP465" s="169"/>
    </row>
    <row r="466" spans="5:42" x14ac:dyDescent="0.2">
      <c r="E466" s="169"/>
      <c r="F466" s="169"/>
      <c r="G466" s="169"/>
      <c r="H466" s="169"/>
      <c r="I466" s="169"/>
      <c r="J466" s="169"/>
      <c r="K466" s="169"/>
      <c r="L466" s="169"/>
      <c r="M466" s="169"/>
      <c r="N466" s="169"/>
      <c r="O466" s="169"/>
      <c r="P466" s="169"/>
      <c r="Q466" s="169"/>
      <c r="R466" s="169"/>
      <c r="S466" s="169"/>
      <c r="T466" s="169"/>
      <c r="U466" s="169"/>
      <c r="V466" s="169"/>
      <c r="W466" s="169"/>
      <c r="X466" s="169"/>
      <c r="Y466" s="169"/>
      <c r="Z466" s="169"/>
      <c r="AA466" s="169"/>
      <c r="AB466" s="169"/>
      <c r="AC466" s="169"/>
      <c r="AD466" s="169"/>
      <c r="AE466" s="169"/>
      <c r="AF466" s="169"/>
      <c r="AG466" s="169"/>
      <c r="AH466" s="169"/>
      <c r="AI466" s="169"/>
      <c r="AJ466" s="169"/>
      <c r="AK466" s="169"/>
      <c r="AL466" s="169"/>
      <c r="AM466" s="169"/>
      <c r="AN466" s="169"/>
      <c r="AO466" s="169"/>
      <c r="AP466" s="169"/>
    </row>
    <row r="467" spans="5:42" x14ac:dyDescent="0.2">
      <c r="E467" s="169"/>
      <c r="F467" s="169"/>
      <c r="G467" s="169"/>
      <c r="H467" s="169"/>
      <c r="I467" s="169"/>
      <c r="J467" s="169"/>
      <c r="K467" s="169"/>
      <c r="L467" s="169"/>
      <c r="M467" s="169"/>
      <c r="N467" s="169"/>
      <c r="O467" s="169"/>
      <c r="P467" s="169"/>
      <c r="Q467" s="169"/>
      <c r="R467" s="169"/>
      <c r="S467" s="169"/>
      <c r="T467" s="169"/>
      <c r="U467" s="169"/>
      <c r="V467" s="169"/>
      <c r="W467" s="169"/>
      <c r="X467" s="169"/>
      <c r="Y467" s="169"/>
      <c r="Z467" s="169"/>
      <c r="AA467" s="169"/>
      <c r="AB467" s="169"/>
      <c r="AC467" s="169"/>
      <c r="AD467" s="169"/>
      <c r="AE467" s="169"/>
      <c r="AF467" s="169"/>
      <c r="AG467" s="169"/>
      <c r="AH467" s="169"/>
      <c r="AI467" s="169"/>
      <c r="AJ467" s="169"/>
      <c r="AK467" s="169"/>
      <c r="AL467" s="169"/>
      <c r="AM467" s="169"/>
      <c r="AN467" s="169"/>
      <c r="AO467" s="169"/>
      <c r="AP467" s="169"/>
    </row>
    <row r="468" spans="5:42" x14ac:dyDescent="0.2">
      <c r="E468" s="169"/>
      <c r="F468" s="169"/>
      <c r="G468" s="169"/>
      <c r="H468" s="169"/>
      <c r="I468" s="169"/>
      <c r="J468" s="169"/>
      <c r="K468" s="169"/>
      <c r="L468" s="169"/>
      <c r="M468" s="169"/>
      <c r="N468" s="169"/>
      <c r="O468" s="169"/>
      <c r="P468" s="169"/>
      <c r="Q468" s="169"/>
      <c r="R468" s="169"/>
      <c r="S468" s="169"/>
      <c r="T468" s="169"/>
      <c r="U468" s="169"/>
      <c r="V468" s="169"/>
      <c r="W468" s="169"/>
      <c r="X468" s="169"/>
      <c r="Y468" s="169"/>
      <c r="Z468" s="169"/>
      <c r="AA468" s="169"/>
      <c r="AB468" s="169"/>
      <c r="AC468" s="169"/>
      <c r="AD468" s="169"/>
      <c r="AE468" s="169"/>
      <c r="AF468" s="169"/>
      <c r="AG468" s="169"/>
      <c r="AH468" s="169"/>
      <c r="AI468" s="169"/>
      <c r="AJ468" s="169"/>
      <c r="AK468" s="169"/>
      <c r="AL468" s="169"/>
      <c r="AM468" s="169"/>
      <c r="AN468" s="169"/>
      <c r="AO468" s="169"/>
      <c r="AP468" s="169"/>
    </row>
    <row r="469" spans="5:42" x14ac:dyDescent="0.2">
      <c r="E469" s="169"/>
      <c r="F469" s="169"/>
      <c r="G469" s="169"/>
      <c r="H469" s="169"/>
      <c r="I469" s="169"/>
      <c r="J469" s="169"/>
      <c r="K469" s="169"/>
      <c r="L469" s="169"/>
      <c r="M469" s="169"/>
      <c r="N469" s="169"/>
      <c r="O469" s="169"/>
      <c r="P469" s="169"/>
      <c r="Q469" s="169"/>
      <c r="R469" s="169"/>
      <c r="S469" s="169"/>
      <c r="T469" s="169"/>
      <c r="U469" s="169"/>
      <c r="V469" s="169"/>
      <c r="W469" s="169"/>
      <c r="X469" s="169"/>
      <c r="Y469" s="169"/>
      <c r="Z469" s="169"/>
      <c r="AA469" s="169"/>
      <c r="AB469" s="169"/>
      <c r="AC469" s="169"/>
      <c r="AD469" s="169"/>
      <c r="AE469" s="169"/>
      <c r="AF469" s="169"/>
      <c r="AG469" s="169"/>
      <c r="AH469" s="169"/>
      <c r="AI469" s="169"/>
      <c r="AJ469" s="169"/>
      <c r="AK469" s="169"/>
      <c r="AL469" s="169"/>
      <c r="AM469" s="169"/>
      <c r="AN469" s="169"/>
      <c r="AO469" s="169"/>
      <c r="AP469" s="169"/>
    </row>
    <row r="470" spans="5:42" x14ac:dyDescent="0.2">
      <c r="E470" s="169"/>
      <c r="F470" s="169"/>
      <c r="G470" s="169"/>
      <c r="H470" s="169"/>
      <c r="I470" s="169"/>
      <c r="J470" s="169"/>
      <c r="K470" s="169"/>
      <c r="L470" s="169"/>
      <c r="M470" s="169"/>
      <c r="N470" s="169"/>
      <c r="O470" s="169"/>
      <c r="P470" s="169"/>
      <c r="Q470" s="169"/>
      <c r="R470" s="169"/>
      <c r="S470" s="169"/>
      <c r="T470" s="169"/>
      <c r="U470" s="169"/>
      <c r="V470" s="169"/>
      <c r="W470" s="169"/>
      <c r="X470" s="169"/>
      <c r="Y470" s="169"/>
      <c r="Z470" s="169"/>
      <c r="AA470" s="169"/>
      <c r="AB470" s="169"/>
      <c r="AC470" s="169"/>
      <c r="AD470" s="169"/>
      <c r="AE470" s="169"/>
      <c r="AF470" s="169"/>
      <c r="AG470" s="169"/>
      <c r="AH470" s="169"/>
      <c r="AI470" s="169"/>
      <c r="AJ470" s="169"/>
      <c r="AK470" s="169"/>
      <c r="AL470" s="169"/>
      <c r="AM470" s="169"/>
      <c r="AN470" s="169"/>
      <c r="AO470" s="169"/>
      <c r="AP470" s="169"/>
    </row>
    <row r="471" spans="5:42" x14ac:dyDescent="0.2">
      <c r="E471" s="169"/>
      <c r="F471" s="169"/>
      <c r="G471" s="169"/>
      <c r="H471" s="169"/>
      <c r="I471" s="169"/>
      <c r="J471" s="169"/>
      <c r="K471" s="169"/>
      <c r="L471" s="169"/>
      <c r="M471" s="169"/>
      <c r="N471" s="169"/>
      <c r="O471" s="169"/>
      <c r="P471" s="169"/>
      <c r="Q471" s="169"/>
      <c r="R471" s="169"/>
      <c r="S471" s="169"/>
      <c r="T471" s="169"/>
      <c r="U471" s="169"/>
      <c r="V471" s="169"/>
      <c r="W471" s="169"/>
      <c r="X471" s="169"/>
      <c r="Y471" s="169"/>
      <c r="Z471" s="169"/>
      <c r="AA471" s="169"/>
      <c r="AB471" s="169"/>
      <c r="AC471" s="169"/>
      <c r="AD471" s="169"/>
      <c r="AE471" s="169"/>
      <c r="AF471" s="169"/>
      <c r="AG471" s="169"/>
      <c r="AH471" s="169"/>
      <c r="AI471" s="169"/>
      <c r="AJ471" s="169"/>
      <c r="AK471" s="169"/>
      <c r="AL471" s="169"/>
      <c r="AM471" s="169"/>
      <c r="AN471" s="169"/>
      <c r="AO471" s="169"/>
      <c r="AP471" s="169"/>
    </row>
    <row r="472" spans="5:42" x14ac:dyDescent="0.2">
      <c r="E472" s="169"/>
      <c r="F472" s="169"/>
      <c r="G472" s="169"/>
      <c r="H472" s="169"/>
      <c r="I472" s="169"/>
      <c r="J472" s="169"/>
      <c r="K472" s="169"/>
      <c r="L472" s="169"/>
      <c r="M472" s="169"/>
      <c r="N472" s="169"/>
      <c r="O472" s="169"/>
      <c r="P472" s="169"/>
      <c r="Q472" s="169"/>
      <c r="R472" s="169"/>
      <c r="S472" s="169"/>
      <c r="T472" s="169"/>
      <c r="U472" s="169"/>
      <c r="V472" s="169"/>
      <c r="W472" s="169"/>
      <c r="X472" s="169"/>
      <c r="Y472" s="169"/>
      <c r="Z472" s="169"/>
      <c r="AA472" s="169"/>
      <c r="AB472" s="169"/>
      <c r="AC472" s="169"/>
      <c r="AD472" s="169"/>
      <c r="AE472" s="169"/>
      <c r="AF472" s="169"/>
      <c r="AG472" s="169"/>
      <c r="AH472" s="169"/>
      <c r="AI472" s="169"/>
      <c r="AJ472" s="169"/>
      <c r="AK472" s="169"/>
      <c r="AL472" s="169"/>
      <c r="AM472" s="169"/>
      <c r="AN472" s="169"/>
      <c r="AO472" s="169"/>
      <c r="AP472" s="169"/>
    </row>
    <row r="473" spans="5:42" x14ac:dyDescent="0.2">
      <c r="E473" s="169"/>
      <c r="F473" s="169"/>
      <c r="G473" s="169"/>
      <c r="H473" s="169"/>
      <c r="I473" s="169"/>
      <c r="J473" s="169"/>
      <c r="K473" s="169"/>
      <c r="L473" s="169"/>
      <c r="M473" s="169"/>
      <c r="N473" s="169"/>
      <c r="O473" s="169"/>
      <c r="P473" s="169"/>
      <c r="Q473" s="169"/>
      <c r="R473" s="169"/>
      <c r="S473" s="169"/>
      <c r="T473" s="169"/>
      <c r="U473" s="169"/>
      <c r="V473" s="169"/>
      <c r="W473" s="169"/>
      <c r="X473" s="169"/>
      <c r="Y473" s="169"/>
      <c r="Z473" s="169"/>
      <c r="AA473" s="169"/>
      <c r="AB473" s="169"/>
      <c r="AC473" s="169"/>
      <c r="AD473" s="169"/>
      <c r="AE473" s="169"/>
      <c r="AF473" s="169"/>
      <c r="AG473" s="169"/>
      <c r="AH473" s="169"/>
      <c r="AI473" s="169"/>
      <c r="AJ473" s="169"/>
      <c r="AK473" s="169"/>
      <c r="AL473" s="169"/>
      <c r="AM473" s="169"/>
      <c r="AN473" s="169"/>
      <c r="AO473" s="169"/>
      <c r="AP473" s="169"/>
    </row>
    <row r="474" spans="5:42" x14ac:dyDescent="0.2">
      <c r="E474" s="169"/>
      <c r="F474" s="169"/>
      <c r="G474" s="169"/>
      <c r="H474" s="169"/>
      <c r="I474" s="169"/>
      <c r="J474" s="169"/>
      <c r="K474" s="169"/>
      <c r="L474" s="169"/>
      <c r="M474" s="169"/>
      <c r="N474" s="169"/>
      <c r="O474" s="169"/>
      <c r="P474" s="169"/>
      <c r="Q474" s="169"/>
      <c r="R474" s="169"/>
      <c r="S474" s="169"/>
      <c r="T474" s="169"/>
      <c r="U474" s="169"/>
      <c r="V474" s="169"/>
      <c r="W474" s="169"/>
      <c r="X474" s="169"/>
      <c r="Y474" s="169"/>
      <c r="Z474" s="169"/>
      <c r="AA474" s="169"/>
      <c r="AB474" s="169"/>
      <c r="AC474" s="169"/>
      <c r="AD474" s="169"/>
      <c r="AE474" s="169"/>
      <c r="AF474" s="169"/>
      <c r="AG474" s="169"/>
      <c r="AH474" s="169"/>
      <c r="AI474" s="169"/>
      <c r="AJ474" s="169"/>
      <c r="AK474" s="169"/>
      <c r="AL474" s="169"/>
      <c r="AM474" s="169"/>
      <c r="AN474" s="169"/>
      <c r="AO474" s="169"/>
      <c r="AP474" s="169"/>
    </row>
    <row r="475" spans="5:42" x14ac:dyDescent="0.2">
      <c r="E475" s="169"/>
      <c r="F475" s="169"/>
      <c r="G475" s="169"/>
      <c r="H475" s="169"/>
      <c r="I475" s="169"/>
      <c r="J475" s="169"/>
      <c r="K475" s="169"/>
      <c r="L475" s="169"/>
      <c r="M475" s="169"/>
      <c r="N475" s="169"/>
      <c r="O475" s="169"/>
      <c r="P475" s="169"/>
      <c r="Q475" s="169"/>
      <c r="R475" s="169"/>
      <c r="S475" s="169"/>
      <c r="T475" s="169"/>
      <c r="U475" s="169"/>
      <c r="V475" s="169"/>
      <c r="W475" s="169"/>
      <c r="X475" s="169"/>
      <c r="Y475" s="169"/>
      <c r="Z475" s="169"/>
      <c r="AA475" s="169"/>
      <c r="AB475" s="169"/>
      <c r="AC475" s="169"/>
      <c r="AD475" s="169"/>
      <c r="AE475" s="169"/>
      <c r="AF475" s="169"/>
      <c r="AG475" s="169"/>
      <c r="AH475" s="169"/>
      <c r="AI475" s="169"/>
      <c r="AJ475" s="169"/>
      <c r="AK475" s="169"/>
      <c r="AL475" s="169"/>
      <c r="AM475" s="169"/>
      <c r="AN475" s="169"/>
      <c r="AO475" s="169"/>
      <c r="AP475" s="169"/>
    </row>
    <row r="476" spans="5:42" x14ac:dyDescent="0.2">
      <c r="E476" s="169"/>
      <c r="F476" s="169"/>
      <c r="G476" s="169"/>
      <c r="H476" s="169"/>
      <c r="I476" s="169"/>
      <c r="J476" s="169"/>
      <c r="K476" s="169"/>
      <c r="L476" s="169"/>
      <c r="M476" s="169"/>
      <c r="N476" s="169"/>
      <c r="O476" s="169"/>
      <c r="P476" s="169"/>
      <c r="Q476" s="169"/>
      <c r="R476" s="169"/>
      <c r="S476" s="169"/>
      <c r="T476" s="169"/>
      <c r="U476" s="169"/>
      <c r="V476" s="169"/>
      <c r="W476" s="169"/>
      <c r="X476" s="169"/>
      <c r="Y476" s="169"/>
      <c r="Z476" s="169"/>
      <c r="AA476" s="169"/>
      <c r="AB476" s="169"/>
      <c r="AC476" s="169"/>
      <c r="AD476" s="169"/>
      <c r="AE476" s="169"/>
      <c r="AF476" s="169"/>
      <c r="AG476" s="169"/>
      <c r="AH476" s="169"/>
      <c r="AI476" s="169"/>
      <c r="AJ476" s="169"/>
      <c r="AK476" s="169"/>
      <c r="AL476" s="169"/>
      <c r="AM476" s="169"/>
      <c r="AN476" s="169"/>
      <c r="AO476" s="169"/>
      <c r="AP476" s="169"/>
    </row>
    <row r="477" spans="5:42" x14ac:dyDescent="0.2">
      <c r="E477" s="169"/>
      <c r="F477" s="169"/>
      <c r="G477" s="169"/>
      <c r="H477" s="169"/>
      <c r="I477" s="169"/>
      <c r="J477" s="169"/>
      <c r="K477" s="169"/>
      <c r="L477" s="169"/>
      <c r="M477" s="169"/>
      <c r="N477" s="169"/>
      <c r="O477" s="169"/>
      <c r="P477" s="169"/>
      <c r="Q477" s="169"/>
      <c r="R477" s="169"/>
      <c r="S477" s="169"/>
      <c r="T477" s="169"/>
      <c r="U477" s="169"/>
      <c r="V477" s="169"/>
      <c r="W477" s="169"/>
      <c r="X477" s="169"/>
      <c r="Y477" s="169"/>
      <c r="Z477" s="169"/>
      <c r="AA477" s="169"/>
      <c r="AB477" s="169"/>
      <c r="AC477" s="169"/>
      <c r="AD477" s="169"/>
      <c r="AE477" s="169"/>
      <c r="AF477" s="169"/>
      <c r="AG477" s="169"/>
      <c r="AH477" s="169"/>
      <c r="AI477" s="169"/>
      <c r="AJ477" s="169"/>
      <c r="AK477" s="169"/>
      <c r="AL477" s="169"/>
      <c r="AM477" s="169"/>
      <c r="AN477" s="169"/>
      <c r="AO477" s="169"/>
      <c r="AP477" s="169"/>
    </row>
  </sheetData>
  <printOptions horizontalCentered="1"/>
  <pageMargins left="0.25" right="0.25" top="0.49" bottom="0.5" header="0.5" footer="0.5"/>
  <pageSetup scale="75" orientation="landscape" verticalDpi="0" r:id="rId1"/>
  <headerFooter alignWithMargins="0">
    <oddFooter>&amp;L&amp;D&amp;T&amp;C&amp;P&amp;Ro:/Corpdev/North America/Raul/Ammonia/&amp;F</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53"/>
  <sheetViews>
    <sheetView zoomScale="85" workbookViewId="0">
      <selection activeCell="B33" sqref="B33"/>
    </sheetView>
  </sheetViews>
  <sheetFormatPr defaultRowHeight="12.75" x14ac:dyDescent="0.2"/>
  <cols>
    <col min="1" max="1" width="6" customWidth="1"/>
    <col min="2" max="2" width="10.140625" customWidth="1"/>
    <col min="3" max="3" width="11" customWidth="1"/>
    <col min="4" max="4" width="11.85546875" customWidth="1"/>
    <col min="5" max="6" width="2" customWidth="1"/>
    <col min="7" max="7" width="2" style="110" customWidth="1"/>
    <col min="8" max="8" width="8.42578125" bestFit="1" customWidth="1"/>
    <col min="9" max="9" width="8" customWidth="1"/>
    <col min="10" max="10" width="9.28515625" customWidth="1"/>
    <col min="11" max="11" width="8.5703125" bestFit="1" customWidth="1"/>
    <col min="12" max="12" width="8.42578125" bestFit="1" customWidth="1"/>
    <col min="13" max="13" width="9.28515625" customWidth="1"/>
    <col min="14" max="14" width="9.42578125" customWidth="1"/>
    <col min="15" max="15" width="9.28515625" customWidth="1"/>
    <col min="16" max="16" width="9" customWidth="1"/>
    <col min="17" max="17" width="9.28515625" customWidth="1"/>
    <col min="19" max="19" width="9.5703125" customWidth="1"/>
    <col min="20" max="20" width="8.42578125" bestFit="1" customWidth="1"/>
    <col min="21" max="21" width="8.85546875" customWidth="1"/>
  </cols>
  <sheetData>
    <row r="1" spans="1:21" ht="21" thickBot="1" x14ac:dyDescent="0.35">
      <c r="A1" s="365" t="s">
        <v>518</v>
      </c>
      <c r="B1" s="343"/>
      <c r="C1" s="343"/>
      <c r="D1" s="344"/>
      <c r="E1" s="344"/>
      <c r="F1" s="344"/>
      <c r="G1" s="344"/>
      <c r="H1" s="360"/>
      <c r="I1" s="360"/>
      <c r="J1" s="360"/>
      <c r="K1" s="360"/>
      <c r="L1" s="360"/>
      <c r="M1" s="360"/>
      <c r="N1" s="360"/>
      <c r="O1" s="360"/>
      <c r="P1" s="360"/>
      <c r="Q1" s="360"/>
      <c r="R1" s="360"/>
      <c r="S1" s="360"/>
      <c r="T1" s="360"/>
      <c r="U1" s="774" t="s">
        <v>665</v>
      </c>
    </row>
    <row r="2" spans="1:21" ht="26.25" x14ac:dyDescent="0.4">
      <c r="A2" s="358"/>
      <c r="B2" s="338"/>
      <c r="C2" s="338"/>
      <c r="D2" s="337"/>
      <c r="E2" s="337"/>
      <c r="F2" s="337"/>
      <c r="G2" s="337"/>
      <c r="U2" s="181" t="s">
        <v>659</v>
      </c>
    </row>
    <row r="3" spans="1:21" ht="26.25" x14ac:dyDescent="0.4">
      <c r="A3" s="358"/>
      <c r="B3" s="338"/>
      <c r="C3" s="338"/>
      <c r="D3" s="337"/>
      <c r="E3" s="337"/>
      <c r="F3" s="337"/>
      <c r="G3" s="337"/>
    </row>
    <row r="4" spans="1:21" ht="26.25" x14ac:dyDescent="0.4">
      <c r="A4" s="358"/>
      <c r="B4" s="338"/>
      <c r="C4" s="338"/>
      <c r="D4" s="337"/>
      <c r="E4" s="337"/>
      <c r="F4" s="337"/>
      <c r="G4" s="337"/>
    </row>
    <row r="5" spans="1:21" x14ac:dyDescent="0.2">
      <c r="B5" s="80" t="s">
        <v>674</v>
      </c>
    </row>
    <row r="7" spans="1:21" x14ac:dyDescent="0.2">
      <c r="H7" s="409">
        <v>36891</v>
      </c>
      <c r="I7" s="409">
        <v>37073</v>
      </c>
      <c r="J7" s="409">
        <v>37256</v>
      </c>
      <c r="K7" s="409">
        <v>37621</v>
      </c>
      <c r="L7" s="409">
        <v>37986</v>
      </c>
      <c r="M7" s="409">
        <v>38352</v>
      </c>
      <c r="N7" s="409">
        <v>38717</v>
      </c>
      <c r="O7" s="409">
        <v>39082</v>
      </c>
      <c r="P7" s="409">
        <v>39447</v>
      </c>
      <c r="Q7" s="409">
        <v>39813</v>
      </c>
      <c r="R7" s="409">
        <v>40178</v>
      </c>
      <c r="S7" s="409">
        <v>40543</v>
      </c>
      <c r="T7" s="409">
        <v>40908</v>
      </c>
      <c r="U7" s="409">
        <v>40909</v>
      </c>
    </row>
    <row r="8" spans="1:21" x14ac:dyDescent="0.2">
      <c r="A8" t="s">
        <v>464</v>
      </c>
      <c r="H8" s="169">
        <v>50</v>
      </c>
      <c r="I8" s="169">
        <f t="shared" ref="I8:T8" si="0">+H8</f>
        <v>50</v>
      </c>
      <c r="J8" s="169">
        <f t="shared" si="0"/>
        <v>50</v>
      </c>
      <c r="K8" s="169">
        <f t="shared" si="0"/>
        <v>50</v>
      </c>
      <c r="L8" s="169">
        <f t="shared" si="0"/>
        <v>50</v>
      </c>
      <c r="M8" s="169">
        <f t="shared" si="0"/>
        <v>50</v>
      </c>
      <c r="N8" s="169">
        <f t="shared" si="0"/>
        <v>50</v>
      </c>
      <c r="O8" s="169">
        <f t="shared" si="0"/>
        <v>50</v>
      </c>
      <c r="P8" s="169">
        <f t="shared" si="0"/>
        <v>50</v>
      </c>
      <c r="Q8" s="169">
        <f t="shared" si="0"/>
        <v>50</v>
      </c>
      <c r="R8" s="169">
        <f t="shared" si="0"/>
        <v>50</v>
      </c>
      <c r="S8" s="169">
        <f t="shared" si="0"/>
        <v>50</v>
      </c>
      <c r="T8" s="169">
        <f t="shared" si="0"/>
        <v>50</v>
      </c>
    </row>
    <row r="9" spans="1:21" x14ac:dyDescent="0.2">
      <c r="A9" t="s">
        <v>465</v>
      </c>
      <c r="G9" s="257"/>
      <c r="H9" s="290">
        <f t="shared" ref="H9:T9" si="1">H10/H8</f>
        <v>0.57999999999999996</v>
      </c>
      <c r="I9" s="290">
        <f t="shared" si="1"/>
        <v>1.4395393474088292</v>
      </c>
      <c r="J9" s="290">
        <f t="shared" si="1"/>
        <v>1.4395393474088292</v>
      </c>
      <c r="K9" s="290">
        <f t="shared" si="1"/>
        <v>3.0710172744721689</v>
      </c>
      <c r="L9" s="290">
        <f t="shared" si="1"/>
        <v>3.45489443378119</v>
      </c>
      <c r="M9" s="290">
        <f t="shared" si="1"/>
        <v>3.6468330134357005</v>
      </c>
      <c r="N9" s="290">
        <f t="shared" si="1"/>
        <v>3.7236084452975047</v>
      </c>
      <c r="O9" s="290">
        <f t="shared" si="1"/>
        <v>3.7236084452975047</v>
      </c>
      <c r="P9" s="290">
        <f t="shared" si="1"/>
        <v>3.7236084452975047</v>
      </c>
      <c r="Q9" s="290">
        <f t="shared" si="1"/>
        <v>3.7236084452975047</v>
      </c>
      <c r="R9" s="290">
        <f t="shared" si="1"/>
        <v>3.7236084452975047</v>
      </c>
      <c r="S9" s="290">
        <f t="shared" si="1"/>
        <v>3.7236084452975047</v>
      </c>
      <c r="T9" s="290">
        <f t="shared" si="1"/>
        <v>3.7236084452975047</v>
      </c>
    </row>
    <row r="10" spans="1:21" x14ac:dyDescent="0.2">
      <c r="A10" t="s">
        <v>802</v>
      </c>
      <c r="H10" s="259">
        <f t="shared" ref="H10:M10" si="2">+H11/521</f>
        <v>29</v>
      </c>
      <c r="I10" s="259">
        <f t="shared" si="2"/>
        <v>71.976967370441457</v>
      </c>
      <c r="J10" s="259">
        <f t="shared" si="2"/>
        <v>71.976967370441457</v>
      </c>
      <c r="K10" s="259">
        <f t="shared" si="2"/>
        <v>153.55086372360844</v>
      </c>
      <c r="L10" s="259">
        <f t="shared" si="2"/>
        <v>172.7447216890595</v>
      </c>
      <c r="M10" s="259">
        <f t="shared" si="2"/>
        <v>182.34165067178503</v>
      </c>
      <c r="N10" s="259">
        <f>+N11/521</f>
        <v>186.18042226487523</v>
      </c>
      <c r="O10" s="259">
        <f t="shared" ref="O10:T10" si="3">+O11/521</f>
        <v>186.18042226487523</v>
      </c>
      <c r="P10" s="259">
        <f t="shared" si="3"/>
        <v>186.18042226487523</v>
      </c>
      <c r="Q10" s="259">
        <f t="shared" si="3"/>
        <v>186.18042226487523</v>
      </c>
      <c r="R10" s="259">
        <f t="shared" si="3"/>
        <v>186.18042226487523</v>
      </c>
      <c r="S10" s="259">
        <f t="shared" si="3"/>
        <v>186.18042226487523</v>
      </c>
      <c r="T10" s="259">
        <f t="shared" si="3"/>
        <v>186.18042226487523</v>
      </c>
    </row>
    <row r="11" spans="1:21" x14ac:dyDescent="0.2">
      <c r="A11" t="s">
        <v>801</v>
      </c>
      <c r="H11" s="258">
        <v>15109</v>
      </c>
      <c r="I11" s="258">
        <f>75000/2</f>
        <v>37500</v>
      </c>
      <c r="J11" s="258">
        <f>+I11</f>
        <v>37500</v>
      </c>
      <c r="K11" s="259">
        <v>80000</v>
      </c>
      <c r="L11" s="259">
        <v>90000</v>
      </c>
      <c r="M11" s="259">
        <v>95000</v>
      </c>
      <c r="N11" s="259">
        <v>97000</v>
      </c>
      <c r="O11" s="259">
        <f t="shared" ref="O11:T11" si="4">+N11</f>
        <v>97000</v>
      </c>
      <c r="P11" s="259">
        <f t="shared" si="4"/>
        <v>97000</v>
      </c>
      <c r="Q11" s="259">
        <f t="shared" si="4"/>
        <v>97000</v>
      </c>
      <c r="R11" s="259">
        <f t="shared" si="4"/>
        <v>97000</v>
      </c>
      <c r="S11" s="259">
        <f t="shared" si="4"/>
        <v>97000</v>
      </c>
      <c r="T11" s="259">
        <f t="shared" si="4"/>
        <v>97000</v>
      </c>
    </row>
    <row r="12" spans="1:21" x14ac:dyDescent="0.2">
      <c r="H12" s="169"/>
      <c r="I12" s="169"/>
      <c r="J12" s="169"/>
      <c r="K12" s="169"/>
      <c r="L12" s="169"/>
      <c r="M12" s="169"/>
      <c r="N12" s="169"/>
      <c r="O12" s="169"/>
      <c r="P12" s="169"/>
      <c r="Q12" s="169"/>
      <c r="R12" s="169"/>
      <c r="S12" s="169"/>
      <c r="T12" s="169"/>
    </row>
    <row r="13" spans="1:21" x14ac:dyDescent="0.2">
      <c r="A13" t="s">
        <v>577</v>
      </c>
      <c r="H13" s="649">
        <v>0.13639999999999999</v>
      </c>
      <c r="I13" s="649">
        <v>0.08</v>
      </c>
      <c r="J13" s="649">
        <f>+I13</f>
        <v>0.08</v>
      </c>
      <c r="K13" s="649">
        <f>+J13</f>
        <v>0.08</v>
      </c>
      <c r="L13" s="649">
        <v>7.0000000000000007E-2</v>
      </c>
      <c r="M13" s="649">
        <f t="shared" ref="M13:T13" si="5">+L13</f>
        <v>7.0000000000000007E-2</v>
      </c>
      <c r="N13" s="649">
        <f t="shared" si="5"/>
        <v>7.0000000000000007E-2</v>
      </c>
      <c r="O13" s="649">
        <f t="shared" si="5"/>
        <v>7.0000000000000007E-2</v>
      </c>
      <c r="P13" s="649">
        <f t="shared" si="5"/>
        <v>7.0000000000000007E-2</v>
      </c>
      <c r="Q13" s="649">
        <f t="shared" si="5"/>
        <v>7.0000000000000007E-2</v>
      </c>
      <c r="R13" s="649">
        <f t="shared" si="5"/>
        <v>7.0000000000000007E-2</v>
      </c>
      <c r="S13" s="649">
        <f t="shared" si="5"/>
        <v>7.0000000000000007E-2</v>
      </c>
      <c r="T13" s="649">
        <f t="shared" si="5"/>
        <v>7.0000000000000007E-2</v>
      </c>
    </row>
    <row r="14" spans="1:21" x14ac:dyDescent="0.2">
      <c r="D14" s="475"/>
      <c r="E14" s="475"/>
      <c r="F14" s="475"/>
      <c r="G14" s="475"/>
      <c r="H14" s="475"/>
      <c r="I14" s="475"/>
      <c r="J14" s="475"/>
      <c r="K14" s="475"/>
      <c r="L14" s="475"/>
      <c r="M14" s="475"/>
      <c r="N14" s="475"/>
      <c r="O14" s="475"/>
      <c r="P14" s="475"/>
      <c r="Q14" s="475"/>
      <c r="R14" s="475"/>
      <c r="S14" s="475"/>
      <c r="T14" s="475"/>
      <c r="U14" s="475"/>
    </row>
    <row r="15" spans="1:21" x14ac:dyDescent="0.2">
      <c r="A15" t="s">
        <v>796</v>
      </c>
      <c r="H15" s="332">
        <f t="shared" ref="H15:T15" si="6">+H11*H13</f>
        <v>2060.8676</v>
      </c>
      <c r="I15" s="332">
        <f t="shared" si="6"/>
        <v>3000</v>
      </c>
      <c r="J15" s="332">
        <f t="shared" si="6"/>
        <v>3000</v>
      </c>
      <c r="K15" s="332">
        <f t="shared" si="6"/>
        <v>6400</v>
      </c>
      <c r="L15" s="332">
        <f t="shared" si="6"/>
        <v>6300.0000000000009</v>
      </c>
      <c r="M15" s="332">
        <f t="shared" si="6"/>
        <v>6650.0000000000009</v>
      </c>
      <c r="N15" s="332">
        <f t="shared" si="6"/>
        <v>6790.0000000000009</v>
      </c>
      <c r="O15" s="332">
        <f t="shared" si="6"/>
        <v>6790.0000000000009</v>
      </c>
      <c r="P15" s="332">
        <f t="shared" si="6"/>
        <v>6790.0000000000009</v>
      </c>
      <c r="Q15" s="332">
        <f t="shared" si="6"/>
        <v>6790.0000000000009</v>
      </c>
      <c r="R15" s="332">
        <f t="shared" si="6"/>
        <v>6790.0000000000009</v>
      </c>
      <c r="S15" s="332">
        <f t="shared" si="6"/>
        <v>6790.0000000000009</v>
      </c>
      <c r="T15" s="332">
        <f t="shared" si="6"/>
        <v>6790.0000000000009</v>
      </c>
      <c r="U15" s="332"/>
    </row>
    <row r="16" spans="1:21" x14ac:dyDescent="0.2">
      <c r="A16" t="s">
        <v>742</v>
      </c>
      <c r="D16" s="646">
        <f>+D19</f>
        <v>0.04</v>
      </c>
      <c r="E16" s="616"/>
      <c r="F16" s="616"/>
      <c r="H16" s="427">
        <v>-1592</v>
      </c>
      <c r="I16" s="427">
        <f>-1690/2</f>
        <v>-845</v>
      </c>
      <c r="J16" s="427">
        <f>-1690/2</f>
        <v>-845</v>
      </c>
      <c r="K16" s="427">
        <v>-1741</v>
      </c>
      <c r="L16" s="427">
        <f>K16*(1+$D$19)</f>
        <v>-1810.64</v>
      </c>
      <c r="M16" s="427">
        <f t="shared" ref="M16:T16" si="7">L16*(1+$D$19)</f>
        <v>-1883.0656000000001</v>
      </c>
      <c r="N16" s="427">
        <f t="shared" si="7"/>
        <v>-1958.3882240000003</v>
      </c>
      <c r="O16" s="427">
        <f t="shared" si="7"/>
        <v>-2036.7237529600004</v>
      </c>
      <c r="P16" s="427">
        <f t="shared" si="7"/>
        <v>-2118.1927030784004</v>
      </c>
      <c r="Q16" s="427">
        <f t="shared" si="7"/>
        <v>-2202.9204112015364</v>
      </c>
      <c r="R16" s="427">
        <f t="shared" si="7"/>
        <v>-2291.0372276495978</v>
      </c>
      <c r="S16" s="427">
        <f t="shared" si="7"/>
        <v>-2382.6787167555817</v>
      </c>
      <c r="T16" s="427">
        <f t="shared" si="7"/>
        <v>-2477.9858654258051</v>
      </c>
      <c r="U16" s="332"/>
    </row>
    <row r="17" spans="1:21" x14ac:dyDescent="0.2">
      <c r="A17" t="s">
        <v>795</v>
      </c>
      <c r="H17" s="332">
        <f>SUM(H15:H16)</f>
        <v>468.86760000000004</v>
      </c>
      <c r="I17" s="332">
        <f t="shared" ref="I17:T17" si="8">SUM(I15:I16)</f>
        <v>2155</v>
      </c>
      <c r="J17" s="332">
        <f t="shared" si="8"/>
        <v>2155</v>
      </c>
      <c r="K17" s="332">
        <f t="shared" si="8"/>
        <v>4659</v>
      </c>
      <c r="L17" s="332">
        <f t="shared" si="8"/>
        <v>4489.3600000000006</v>
      </c>
      <c r="M17" s="332">
        <f t="shared" si="8"/>
        <v>4766.934400000001</v>
      </c>
      <c r="N17" s="332">
        <f t="shared" si="8"/>
        <v>4831.6117760000006</v>
      </c>
      <c r="O17" s="332">
        <f t="shared" si="8"/>
        <v>4753.2762470400003</v>
      </c>
      <c r="P17" s="332">
        <f t="shared" si="8"/>
        <v>4671.8072969216009</v>
      </c>
      <c r="Q17" s="332">
        <f t="shared" si="8"/>
        <v>4587.0795887984641</v>
      </c>
      <c r="R17" s="332">
        <f t="shared" si="8"/>
        <v>4498.9627723504036</v>
      </c>
      <c r="S17" s="332">
        <f t="shared" si="8"/>
        <v>4407.3212832444187</v>
      </c>
      <c r="T17" s="332">
        <f t="shared" si="8"/>
        <v>4312.0141345741959</v>
      </c>
      <c r="U17" s="332"/>
    </row>
    <row r="18" spans="1:21" x14ac:dyDescent="0.2">
      <c r="H18" s="332"/>
      <c r="I18" s="332"/>
      <c r="J18" s="332"/>
      <c r="K18" s="332"/>
      <c r="L18" s="332"/>
      <c r="M18" s="332"/>
      <c r="N18" s="332"/>
      <c r="O18" s="332"/>
      <c r="P18" s="332"/>
      <c r="Q18" s="332"/>
      <c r="R18" s="332"/>
      <c r="S18" s="332"/>
      <c r="T18" s="332"/>
      <c r="U18" s="332"/>
    </row>
    <row r="19" spans="1:21" x14ac:dyDescent="0.2">
      <c r="A19" t="s">
        <v>588</v>
      </c>
      <c r="D19" s="646">
        <f>'Sea-3 NH '!D20</f>
        <v>0.04</v>
      </c>
      <c r="E19" s="616"/>
      <c r="F19" s="616"/>
      <c r="H19" s="785">
        <v>-94</v>
      </c>
      <c r="I19" s="785">
        <f>-190/2</f>
        <v>-95</v>
      </c>
      <c r="J19" s="785">
        <f>-190/2</f>
        <v>-95</v>
      </c>
      <c r="K19" s="785">
        <v>-196</v>
      </c>
      <c r="L19" s="785">
        <f>K19*(1+$D$19)</f>
        <v>-203.84</v>
      </c>
      <c r="M19" s="785">
        <f t="shared" ref="M19:T20" si="9">L19*(1+$D$19)</f>
        <v>-211.99360000000001</v>
      </c>
      <c r="N19" s="785">
        <f t="shared" si="9"/>
        <v>-220.47334400000003</v>
      </c>
      <c r="O19" s="785">
        <f t="shared" si="9"/>
        <v>-229.29227776000005</v>
      </c>
      <c r="P19" s="785">
        <f t="shared" si="9"/>
        <v>-238.46396887040007</v>
      </c>
      <c r="Q19" s="785">
        <f t="shared" si="9"/>
        <v>-248.00252762521609</v>
      </c>
      <c r="R19" s="785">
        <f t="shared" si="9"/>
        <v>-257.92262873022474</v>
      </c>
      <c r="S19" s="785">
        <f t="shared" si="9"/>
        <v>-268.23953387943374</v>
      </c>
      <c r="T19" s="785">
        <f t="shared" si="9"/>
        <v>-278.96911523461108</v>
      </c>
      <c r="U19" s="332"/>
    </row>
    <row r="20" spans="1:21" x14ac:dyDescent="0.2">
      <c r="A20" t="s">
        <v>933</v>
      </c>
      <c r="D20" s="616"/>
      <c r="E20" s="616"/>
      <c r="F20" s="616"/>
      <c r="H20" s="427">
        <v>0</v>
      </c>
      <c r="I20" s="427">
        <f>-100/2</f>
        <v>-50</v>
      </c>
      <c r="J20" s="427">
        <f>-100/2</f>
        <v>-50</v>
      </c>
      <c r="K20" s="427">
        <f>-100</f>
        <v>-100</v>
      </c>
      <c r="L20" s="427">
        <f>K20*(1+$D$19)</f>
        <v>-104</v>
      </c>
      <c r="M20" s="427">
        <f t="shared" si="9"/>
        <v>-108.16</v>
      </c>
      <c r="N20" s="427">
        <f t="shared" si="9"/>
        <v>-112.4864</v>
      </c>
      <c r="O20" s="427">
        <f t="shared" si="9"/>
        <v>-116.98585600000001</v>
      </c>
      <c r="P20" s="427">
        <f t="shared" si="9"/>
        <v>-121.66529024000002</v>
      </c>
      <c r="Q20" s="427">
        <f t="shared" si="9"/>
        <v>-126.53190184960002</v>
      </c>
      <c r="R20" s="427">
        <f t="shared" si="9"/>
        <v>-131.59317792358402</v>
      </c>
      <c r="S20" s="427">
        <f t="shared" si="9"/>
        <v>-136.85690504052738</v>
      </c>
      <c r="T20" s="427">
        <f t="shared" si="9"/>
        <v>-142.33118124214849</v>
      </c>
      <c r="U20" s="332"/>
    </row>
    <row r="21" spans="1:21" x14ac:dyDescent="0.2">
      <c r="A21" t="s">
        <v>107</v>
      </c>
      <c r="H21" s="332">
        <f>SUM(H17:H20)</f>
        <v>374.86760000000004</v>
      </c>
      <c r="I21" s="332">
        <f t="shared" ref="I21:T21" si="10">SUM(I17:I20)</f>
        <v>2010</v>
      </c>
      <c r="J21" s="332">
        <f t="shared" si="10"/>
        <v>2010</v>
      </c>
      <c r="K21" s="332">
        <f t="shared" si="10"/>
        <v>4363</v>
      </c>
      <c r="L21" s="332">
        <f t="shared" si="10"/>
        <v>4181.5200000000004</v>
      </c>
      <c r="M21" s="332">
        <f t="shared" si="10"/>
        <v>4446.7808000000014</v>
      </c>
      <c r="N21" s="332">
        <f t="shared" si="10"/>
        <v>4498.6520320000009</v>
      </c>
      <c r="O21" s="332">
        <f t="shared" si="10"/>
        <v>4406.9981132800003</v>
      </c>
      <c r="P21" s="332">
        <f t="shared" si="10"/>
        <v>4311.6780378112007</v>
      </c>
      <c r="Q21" s="332">
        <f t="shared" si="10"/>
        <v>4212.5451593236476</v>
      </c>
      <c r="R21" s="332">
        <f t="shared" si="10"/>
        <v>4109.4469656965948</v>
      </c>
      <c r="S21" s="332">
        <f t="shared" si="10"/>
        <v>4002.2248443244575</v>
      </c>
      <c r="T21" s="332">
        <f t="shared" si="10"/>
        <v>3890.7138380974361</v>
      </c>
      <c r="U21" s="332"/>
    </row>
    <row r="22" spans="1:21" x14ac:dyDescent="0.2">
      <c r="H22" s="332"/>
      <c r="I22" s="332"/>
      <c r="J22" s="332"/>
      <c r="K22" s="332"/>
      <c r="L22" s="332"/>
      <c r="M22" s="332"/>
      <c r="N22" s="332"/>
      <c r="O22" s="332"/>
      <c r="P22" s="332"/>
      <c r="Q22" s="332"/>
      <c r="R22" s="332"/>
      <c r="S22" s="332"/>
      <c r="T22" s="332"/>
      <c r="U22" s="332"/>
    </row>
    <row r="23" spans="1:21" x14ac:dyDescent="0.2">
      <c r="A23" t="s">
        <v>386</v>
      </c>
      <c r="H23" s="332"/>
      <c r="I23" s="332"/>
      <c r="J23" s="437">
        <f ca="1">-Dep!F115*0.5</f>
        <v>-404.51437542795031</v>
      </c>
      <c r="K23" s="437">
        <f ca="1">-Dep!G115</f>
        <v>-817.362084189234</v>
      </c>
      <c r="L23" s="437">
        <f ca="1">-Dep!H115</f>
        <v>-825.69541752256737</v>
      </c>
      <c r="M23" s="437">
        <f ca="1">-Dep!I115</f>
        <v>-834.02875085590063</v>
      </c>
      <c r="N23" s="437">
        <f ca="1">-Dep!J115</f>
        <v>-842.362084189234</v>
      </c>
      <c r="O23" s="437">
        <f ca="1">-Dep!K115</f>
        <v>-850.69541752256737</v>
      </c>
      <c r="P23" s="437">
        <f ca="1">-Dep!L115</f>
        <v>-859.02875085590063</v>
      </c>
      <c r="Q23" s="437">
        <f ca="1">-Dep!M115</f>
        <v>-867.362084189234</v>
      </c>
      <c r="R23" s="437">
        <f ca="1">-Dep!N115</f>
        <v>-875.69541752256737</v>
      </c>
      <c r="S23" s="437">
        <f ca="1">-Dep!O115</f>
        <v>-884.02875085590063</v>
      </c>
      <c r="T23" s="437">
        <f ca="1">-Dep!P115</f>
        <v>-892.362084189234</v>
      </c>
      <c r="U23" s="332"/>
    </row>
    <row r="24" spans="1:21" x14ac:dyDescent="0.2">
      <c r="A24" t="s">
        <v>82</v>
      </c>
      <c r="H24" s="332"/>
      <c r="I24" s="332"/>
      <c r="J24" s="332">
        <f ca="1">+J21+J23</f>
        <v>1605.4856245720498</v>
      </c>
      <c r="K24" s="332">
        <f t="shared" ref="K24:T24" ca="1" si="11">+K21+K23</f>
        <v>3545.6379158107661</v>
      </c>
      <c r="L24" s="332">
        <f t="shared" ca="1" si="11"/>
        <v>3355.8245824774331</v>
      </c>
      <c r="M24" s="332">
        <f t="shared" ca="1" si="11"/>
        <v>3612.752049144101</v>
      </c>
      <c r="N24" s="332">
        <f t="shared" ca="1" si="11"/>
        <v>3656.289947810767</v>
      </c>
      <c r="O24" s="332">
        <f t="shared" ca="1" si="11"/>
        <v>3556.302695757433</v>
      </c>
      <c r="P24" s="332">
        <f t="shared" ca="1" si="11"/>
        <v>3452.6492869553003</v>
      </c>
      <c r="Q24" s="332">
        <f t="shared" ca="1" si="11"/>
        <v>3345.1830751344137</v>
      </c>
      <c r="R24" s="332">
        <f t="shared" ca="1" si="11"/>
        <v>3233.7515481740274</v>
      </c>
      <c r="S24" s="332">
        <f t="shared" ca="1" si="11"/>
        <v>3118.1960934685567</v>
      </c>
      <c r="T24" s="332">
        <f t="shared" ca="1" si="11"/>
        <v>2998.3517539082022</v>
      </c>
      <c r="U24" s="332"/>
    </row>
    <row r="25" spans="1:21" x14ac:dyDescent="0.2">
      <c r="H25" s="332"/>
      <c r="I25" s="332"/>
      <c r="J25" s="332"/>
      <c r="K25" s="332"/>
      <c r="L25" s="332"/>
      <c r="M25" s="332"/>
      <c r="N25" s="332"/>
      <c r="O25" s="332"/>
      <c r="P25" s="332"/>
      <c r="Q25" s="332"/>
      <c r="R25" s="332"/>
      <c r="S25" s="332"/>
      <c r="T25" s="332"/>
      <c r="U25" s="332"/>
    </row>
    <row r="26" spans="1:21" x14ac:dyDescent="0.2">
      <c r="A26" t="s">
        <v>589</v>
      </c>
      <c r="H26" s="332"/>
      <c r="I26" s="332"/>
      <c r="J26" s="439">
        <f ca="1">-J24*Assumptions!$B$8</f>
        <v>-561.91996860021743</v>
      </c>
      <c r="K26" s="439">
        <f ca="1">-K24*Assumptions!$B$8</f>
        <v>-1240.9732705337681</v>
      </c>
      <c r="L26" s="439">
        <f ca="1">-L24*Assumptions!$B$8</f>
        <v>-1174.5386038671015</v>
      </c>
      <c r="M26" s="439">
        <f ca="1">-M24*Assumptions!$B$8</f>
        <v>-1264.4632172004353</v>
      </c>
      <c r="N26" s="439">
        <f ca="1">-N24*Assumptions!$B$8</f>
        <v>-1279.7014817337683</v>
      </c>
      <c r="O26" s="439">
        <f ca="1">-O24*Assumptions!$B$8</f>
        <v>-1244.7059435151014</v>
      </c>
      <c r="P26" s="439">
        <f ca="1">-P24*Assumptions!$B$8</f>
        <v>-1208.4272504343551</v>
      </c>
      <c r="Q26" s="439">
        <f ca="1">-Q24*Assumptions!$B$8</f>
        <v>-1170.8140762970447</v>
      </c>
      <c r="R26" s="439">
        <f ca="1">-R24*Assumptions!$B$8</f>
        <v>-1131.8130418609096</v>
      </c>
      <c r="S26" s="439">
        <f ca="1">-S24*Assumptions!$B$8</f>
        <v>-1091.3686327139947</v>
      </c>
      <c r="T26" s="439">
        <f ca="1">-T24*Assumptions!$B$8</f>
        <v>-1049.4231138678708</v>
      </c>
      <c r="U26" s="332"/>
    </row>
    <row r="27" spans="1:21" x14ac:dyDescent="0.2">
      <c r="A27" t="s">
        <v>590</v>
      </c>
      <c r="H27" s="332"/>
      <c r="I27" s="332"/>
      <c r="J27" s="439">
        <f ca="1">+Dep!F118*0.5</f>
        <v>465.37356321108552</v>
      </c>
      <c r="K27" s="439">
        <f ca="1">+Dep!G118</f>
        <v>1806.8040019221737</v>
      </c>
      <c r="L27" s="439">
        <f ca="1">+Dep!H118</f>
        <v>1230.6799533764201</v>
      </c>
      <c r="M27" s="439">
        <f ca="1">+Dep!I118</f>
        <v>818.3269425104055</v>
      </c>
      <c r="N27" s="439">
        <f ca="1">+Dep!J118</f>
        <v>523.92407877380344</v>
      </c>
      <c r="O27" s="439">
        <f ca="1">+Dep!K118</f>
        <v>527.97168191873811</v>
      </c>
      <c r="P27" s="439">
        <f ca="1">+Dep!L118</f>
        <v>533.70949544047005</v>
      </c>
      <c r="Q27" s="439">
        <f ca="1">+Dep!M118</f>
        <v>158.8889345595864</v>
      </c>
      <c r="R27" s="439">
        <f ca="1">+Dep!N118</f>
        <v>-218.99339613289857</v>
      </c>
      <c r="S27" s="439">
        <f ca="1">+Dep!O118</f>
        <v>-221.9100627995652</v>
      </c>
      <c r="T27" s="439">
        <f ca="1">+Dep!P118</f>
        <v>-224.82672946623188</v>
      </c>
      <c r="U27" s="332"/>
    </row>
    <row r="28" spans="1:21" x14ac:dyDescent="0.2">
      <c r="A28" t="s">
        <v>591</v>
      </c>
      <c r="H28" s="332"/>
      <c r="I28" s="332"/>
      <c r="J28" s="439">
        <f ca="1">+J23*-1</f>
        <v>404.51437542795031</v>
      </c>
      <c r="K28" s="439">
        <f t="shared" ref="K28:T28" ca="1" si="12">+K23*-1</f>
        <v>817.362084189234</v>
      </c>
      <c r="L28" s="439">
        <f t="shared" ca="1" si="12"/>
        <v>825.69541752256737</v>
      </c>
      <c r="M28" s="439">
        <f t="shared" ca="1" si="12"/>
        <v>834.02875085590063</v>
      </c>
      <c r="N28" s="439">
        <f t="shared" ca="1" si="12"/>
        <v>842.362084189234</v>
      </c>
      <c r="O28" s="439">
        <f t="shared" ca="1" si="12"/>
        <v>850.69541752256737</v>
      </c>
      <c r="P28" s="439">
        <f t="shared" ca="1" si="12"/>
        <v>859.02875085590063</v>
      </c>
      <c r="Q28" s="439">
        <f t="shared" ca="1" si="12"/>
        <v>867.362084189234</v>
      </c>
      <c r="R28" s="439">
        <f t="shared" ca="1" si="12"/>
        <v>875.69541752256737</v>
      </c>
      <c r="S28" s="439">
        <f t="shared" ca="1" si="12"/>
        <v>884.02875085590063</v>
      </c>
      <c r="T28" s="439">
        <f t="shared" ca="1" si="12"/>
        <v>892.362084189234</v>
      </c>
      <c r="U28" s="332"/>
    </row>
    <row r="29" spans="1:21" x14ac:dyDescent="0.2">
      <c r="A29" t="s">
        <v>592</v>
      </c>
      <c r="H29" s="332"/>
      <c r="I29" s="332"/>
      <c r="J29" s="439">
        <f>+'Valuation - DCF'!L51/2</f>
        <v>-125</v>
      </c>
      <c r="K29" s="439">
        <f>+'Valuation - DCF'!M51/2</f>
        <v>-250</v>
      </c>
      <c r="L29" s="439">
        <f>+'Valuation - DCF'!N51/2</f>
        <v>-250</v>
      </c>
      <c r="M29" s="439">
        <f>+'Valuation - DCF'!O51/2</f>
        <v>-250</v>
      </c>
      <c r="N29" s="439">
        <f>+'Valuation - DCF'!P51/2</f>
        <v>-250</v>
      </c>
      <c r="O29" s="439">
        <f t="shared" ref="O29:T29" si="13">N29</f>
        <v>-250</v>
      </c>
      <c r="P29" s="439">
        <f t="shared" si="13"/>
        <v>-250</v>
      </c>
      <c r="Q29" s="439">
        <f t="shared" si="13"/>
        <v>-250</v>
      </c>
      <c r="R29" s="439">
        <f t="shared" si="13"/>
        <v>-250</v>
      </c>
      <c r="S29" s="439">
        <f t="shared" si="13"/>
        <v>-250</v>
      </c>
      <c r="T29" s="439">
        <f t="shared" si="13"/>
        <v>-250</v>
      </c>
      <c r="U29" s="332"/>
    </row>
    <row r="30" spans="1:21" x14ac:dyDescent="0.2">
      <c r="A30" t="s">
        <v>593</v>
      </c>
      <c r="H30" s="332"/>
      <c r="I30" s="332"/>
      <c r="J30" s="437">
        <f>+J53</f>
        <v>0</v>
      </c>
      <c r="K30" s="437">
        <f t="shared" ref="K30:T30" si="14">+K53</f>
        <v>-722.98325722983463</v>
      </c>
      <c r="L30" s="437">
        <f t="shared" si="14"/>
        <v>228.31050228310414</v>
      </c>
      <c r="M30" s="437">
        <f t="shared" si="14"/>
        <v>-799.08675799086814</v>
      </c>
      <c r="N30" s="437">
        <f t="shared" si="14"/>
        <v>-319.63470319634689</v>
      </c>
      <c r="O30" s="437">
        <f t="shared" si="14"/>
        <v>0</v>
      </c>
      <c r="P30" s="437">
        <f t="shared" si="14"/>
        <v>0</v>
      </c>
      <c r="Q30" s="437">
        <f t="shared" si="14"/>
        <v>0</v>
      </c>
      <c r="R30" s="437">
        <f t="shared" si="14"/>
        <v>0</v>
      </c>
      <c r="S30" s="437">
        <f t="shared" si="14"/>
        <v>0</v>
      </c>
      <c r="T30" s="437">
        <f t="shared" si="14"/>
        <v>0</v>
      </c>
      <c r="U30" s="332"/>
    </row>
    <row r="31" spans="1:21" x14ac:dyDescent="0.2">
      <c r="A31" t="s">
        <v>95</v>
      </c>
      <c r="I31" s="175">
        <v>0</v>
      </c>
      <c r="J31" s="440">
        <f ca="1">SUM(J24:J30)</f>
        <v>1788.4535946108681</v>
      </c>
      <c r="K31" s="440">
        <f t="shared" ref="K31:T31" ca="1" si="15">SUM(K24:K30)</f>
        <v>3955.8474741585715</v>
      </c>
      <c r="L31" s="440">
        <f t="shared" ca="1" si="15"/>
        <v>4215.971851792423</v>
      </c>
      <c r="M31" s="440">
        <f t="shared" ca="1" si="15"/>
        <v>2951.5577673191037</v>
      </c>
      <c r="N31" s="440">
        <f t="shared" ca="1" si="15"/>
        <v>3173.2399258436894</v>
      </c>
      <c r="O31" s="440">
        <f t="shared" ca="1" si="15"/>
        <v>3440.2638516836369</v>
      </c>
      <c r="P31" s="440">
        <f t="shared" ca="1" si="15"/>
        <v>3386.9602828173156</v>
      </c>
      <c r="Q31" s="440">
        <f t="shared" ca="1" si="15"/>
        <v>2950.6200175861891</v>
      </c>
      <c r="R31" s="440">
        <f t="shared" ca="1" si="15"/>
        <v>2508.6405277027861</v>
      </c>
      <c r="S31" s="440">
        <f t="shared" ca="1" si="15"/>
        <v>2438.9461488108973</v>
      </c>
      <c r="T31" s="440">
        <f t="shared" ca="1" si="15"/>
        <v>2366.4639947633336</v>
      </c>
      <c r="U31" s="440">
        <f>+T21*D35</f>
        <v>23344.283028584618</v>
      </c>
    </row>
    <row r="33" spans="1:21" x14ac:dyDescent="0.2">
      <c r="B33" s="170"/>
      <c r="C33" s="170"/>
      <c r="D33" s="170"/>
      <c r="E33" s="170"/>
      <c r="F33" s="170"/>
      <c r="G33" s="260"/>
      <c r="H33" s="261"/>
      <c r="I33" s="261"/>
      <c r="J33" s="261"/>
      <c r="K33" s="261"/>
      <c r="L33" s="261"/>
      <c r="M33" s="261"/>
      <c r="N33" s="261"/>
      <c r="O33" s="261"/>
      <c r="P33" s="261"/>
      <c r="Q33" s="261"/>
      <c r="R33" s="261"/>
      <c r="S33" s="261"/>
      <c r="T33" s="261"/>
    </row>
    <row r="34" spans="1:21" x14ac:dyDescent="0.2">
      <c r="C34" s="291" t="str">
        <f>"NPV@"&amp;(Assumptions!$B$6*100)&amp;"%"</f>
        <v>NPV@11%</v>
      </c>
      <c r="D34" s="333">
        <f ca="1">XNPV(Assumptions!$B$6,I31:U31,I7:U7)</f>
        <v>27883.475997714821</v>
      </c>
      <c r="E34" s="333"/>
      <c r="F34" s="333"/>
      <c r="G34" s="260"/>
      <c r="H34" s="261"/>
      <c r="I34" s="261"/>
      <c r="J34" s="261"/>
      <c r="K34" s="261"/>
      <c r="L34" s="261"/>
      <c r="M34" s="261"/>
      <c r="N34" s="261"/>
      <c r="O34" s="261"/>
      <c r="P34" s="261"/>
      <c r="Q34" s="261"/>
      <c r="R34" s="261"/>
      <c r="S34" s="261"/>
      <c r="T34" s="261"/>
    </row>
    <row r="35" spans="1:21" x14ac:dyDescent="0.2">
      <c r="C35" s="291" t="s">
        <v>497</v>
      </c>
      <c r="D35" s="585">
        <f>Assumptions!$B$7</f>
        <v>6</v>
      </c>
      <c r="E35" s="585"/>
      <c r="F35" s="585"/>
      <c r="H35" s="261"/>
      <c r="I35" s="261"/>
      <c r="J35" s="424"/>
      <c r="K35" s="261"/>
      <c r="L35" s="261"/>
      <c r="M35" s="261"/>
      <c r="N35" s="261"/>
      <c r="O35" s="261"/>
      <c r="P35" s="261"/>
      <c r="Q35" s="261"/>
      <c r="R35" s="261"/>
      <c r="S35" s="261"/>
      <c r="T35" s="261"/>
    </row>
    <row r="37" spans="1:21" x14ac:dyDescent="0.2">
      <c r="H37" s="332"/>
      <c r="I37" s="332"/>
    </row>
    <row r="38" spans="1:21" x14ac:dyDescent="0.2">
      <c r="B38" s="318" t="s">
        <v>798</v>
      </c>
      <c r="H38" s="262"/>
      <c r="I38" s="262"/>
    </row>
    <row r="40" spans="1:21" x14ac:dyDescent="0.2">
      <c r="H40" s="409">
        <v>36891</v>
      </c>
      <c r="I40" s="409">
        <v>37073</v>
      </c>
      <c r="J40" s="409">
        <v>37256</v>
      </c>
      <c r="K40" s="409">
        <v>37621</v>
      </c>
      <c r="L40" s="409">
        <v>37986</v>
      </c>
      <c r="M40" s="409">
        <v>38352</v>
      </c>
      <c r="N40" s="409">
        <v>38717</v>
      </c>
      <c r="O40" s="409">
        <v>39082</v>
      </c>
      <c r="P40" s="409">
        <v>39447</v>
      </c>
      <c r="Q40" s="409">
        <v>39813</v>
      </c>
      <c r="R40" s="409">
        <v>40178</v>
      </c>
      <c r="S40" s="409">
        <v>40543</v>
      </c>
      <c r="T40" s="409">
        <v>40908</v>
      </c>
      <c r="U40" s="409">
        <v>40909</v>
      </c>
    </row>
    <row r="41" spans="1:21" x14ac:dyDescent="0.2">
      <c r="A41" t="s">
        <v>813</v>
      </c>
      <c r="H41" s="450">
        <f t="shared" ref="H41:S41" si="16">+H15</f>
        <v>2060.8676</v>
      </c>
      <c r="I41" s="450">
        <f t="shared" si="16"/>
        <v>3000</v>
      </c>
      <c r="J41" s="450">
        <f t="shared" si="16"/>
        <v>3000</v>
      </c>
      <c r="K41" s="450">
        <f t="shared" si="16"/>
        <v>6400</v>
      </c>
      <c r="L41" s="450">
        <f t="shared" si="16"/>
        <v>6300.0000000000009</v>
      </c>
      <c r="M41" s="450">
        <f t="shared" si="16"/>
        <v>6650.0000000000009</v>
      </c>
      <c r="N41" s="450">
        <f t="shared" si="16"/>
        <v>6790.0000000000009</v>
      </c>
      <c r="O41" s="450">
        <f t="shared" si="16"/>
        <v>6790.0000000000009</v>
      </c>
      <c r="P41" s="450">
        <f t="shared" si="16"/>
        <v>6790.0000000000009</v>
      </c>
      <c r="Q41" s="450">
        <f t="shared" si="16"/>
        <v>6790.0000000000009</v>
      </c>
      <c r="R41" s="450">
        <f t="shared" si="16"/>
        <v>6790.0000000000009</v>
      </c>
      <c r="S41" s="450">
        <f t="shared" si="16"/>
        <v>6790.0000000000009</v>
      </c>
    </row>
    <row r="43" spans="1:21" x14ac:dyDescent="0.2">
      <c r="A43" s="133">
        <v>7.4999999999999997E-2</v>
      </c>
      <c r="B43" t="s">
        <v>266</v>
      </c>
      <c r="H43" s="450">
        <f>+H41/$A$43</f>
        <v>27478.234666666667</v>
      </c>
      <c r="I43" s="450">
        <f t="shared" ref="I43:S43" si="17">+I41/$A$43</f>
        <v>40000</v>
      </c>
      <c r="J43" s="450">
        <f t="shared" si="17"/>
        <v>40000</v>
      </c>
      <c r="K43" s="450">
        <f t="shared" si="17"/>
        <v>85333.333333333343</v>
      </c>
      <c r="L43" s="450">
        <f t="shared" si="17"/>
        <v>84000.000000000015</v>
      </c>
      <c r="M43" s="450">
        <f t="shared" si="17"/>
        <v>88666.666666666686</v>
      </c>
      <c r="N43" s="450">
        <f t="shared" si="17"/>
        <v>90533.333333333343</v>
      </c>
      <c r="O43" s="450">
        <f t="shared" si="17"/>
        <v>90533.333333333343</v>
      </c>
      <c r="P43" s="450">
        <f t="shared" si="17"/>
        <v>90533.333333333343</v>
      </c>
      <c r="Q43" s="450">
        <f t="shared" si="17"/>
        <v>90533.333333333343</v>
      </c>
      <c r="R43" s="450">
        <f t="shared" si="17"/>
        <v>90533.333333333343</v>
      </c>
      <c r="S43" s="450">
        <f t="shared" si="17"/>
        <v>90533.333333333343</v>
      </c>
    </row>
    <row r="44" spans="1:21" x14ac:dyDescent="0.2">
      <c r="B44" t="s">
        <v>395</v>
      </c>
      <c r="H44" s="457">
        <f>-H43*(1-$A$43)</f>
        <v>-25417.367066666669</v>
      </c>
      <c r="I44" s="457">
        <f t="shared" ref="I44:S44" si="18">-I43*(1-$A$43)</f>
        <v>-37000</v>
      </c>
      <c r="J44" s="457">
        <f t="shared" si="18"/>
        <v>-37000</v>
      </c>
      <c r="K44" s="457">
        <f t="shared" si="18"/>
        <v>-78933.333333333343</v>
      </c>
      <c r="L44" s="457">
        <f t="shared" si="18"/>
        <v>-77700.000000000015</v>
      </c>
      <c r="M44" s="457">
        <f t="shared" si="18"/>
        <v>-82016.666666666686</v>
      </c>
      <c r="N44" s="457">
        <f t="shared" si="18"/>
        <v>-83743.333333333343</v>
      </c>
      <c r="O44" s="457">
        <f t="shared" si="18"/>
        <v>-83743.333333333343</v>
      </c>
      <c r="P44" s="457">
        <f t="shared" si="18"/>
        <v>-83743.333333333343</v>
      </c>
      <c r="Q44" s="457">
        <f t="shared" si="18"/>
        <v>-83743.333333333343</v>
      </c>
      <c r="R44" s="457">
        <f t="shared" si="18"/>
        <v>-83743.333333333343</v>
      </c>
      <c r="S44" s="457">
        <f t="shared" si="18"/>
        <v>-83743.333333333343</v>
      </c>
    </row>
    <row r="45" spans="1:21" x14ac:dyDescent="0.2">
      <c r="B45" t="s">
        <v>800</v>
      </c>
      <c r="H45" s="450">
        <f t="shared" ref="H45:S45" si="19">SUM(H43:H44)</f>
        <v>2060.8675999999978</v>
      </c>
      <c r="I45" s="450">
        <f t="shared" si="19"/>
        <v>3000</v>
      </c>
      <c r="J45" s="450">
        <f t="shared" si="19"/>
        <v>3000</v>
      </c>
      <c r="K45" s="450">
        <f t="shared" si="19"/>
        <v>6400</v>
      </c>
      <c r="L45" s="450">
        <f t="shared" si="19"/>
        <v>6300</v>
      </c>
      <c r="M45" s="450">
        <f t="shared" si="19"/>
        <v>6650</v>
      </c>
      <c r="N45" s="450">
        <f t="shared" si="19"/>
        <v>6790</v>
      </c>
      <c r="O45" s="450">
        <f t="shared" si="19"/>
        <v>6790</v>
      </c>
      <c r="P45" s="450">
        <f t="shared" si="19"/>
        <v>6790</v>
      </c>
      <c r="Q45" s="450">
        <f t="shared" si="19"/>
        <v>6790</v>
      </c>
      <c r="R45" s="450">
        <f t="shared" si="19"/>
        <v>6790</v>
      </c>
      <c r="S45" s="450">
        <f t="shared" si="19"/>
        <v>6790</v>
      </c>
    </row>
    <row r="47" spans="1:21" x14ac:dyDescent="0.2">
      <c r="A47" t="s">
        <v>814</v>
      </c>
    </row>
    <row r="48" spans="1:21" x14ac:dyDescent="0.2">
      <c r="B48" t="s">
        <v>406</v>
      </c>
      <c r="D48" s="224">
        <v>66</v>
      </c>
      <c r="E48" s="224"/>
      <c r="F48" s="224"/>
      <c r="H48" s="321">
        <f>+H43*$D$48/365</f>
        <v>4968.6670904109596</v>
      </c>
      <c r="I48" s="321">
        <f>+I43*$D$48/180</f>
        <v>14666.666666666666</v>
      </c>
      <c r="J48" s="321">
        <f>+J43*$D$48/180</f>
        <v>14666.666666666666</v>
      </c>
      <c r="K48" s="321">
        <f>+K43*$D$48/365</f>
        <v>15430.136986301372</v>
      </c>
      <c r="L48" s="321">
        <f t="shared" ref="L48:S48" si="20">+L43*$D$48/365</f>
        <v>15189.041095890414</v>
      </c>
      <c r="M48" s="321">
        <f t="shared" si="20"/>
        <v>16032.876712328769</v>
      </c>
      <c r="N48" s="321">
        <f t="shared" si="20"/>
        <v>16370.410958904113</v>
      </c>
      <c r="O48" s="321">
        <f t="shared" si="20"/>
        <v>16370.410958904113</v>
      </c>
      <c r="P48" s="321">
        <f t="shared" si="20"/>
        <v>16370.410958904113</v>
      </c>
      <c r="Q48" s="321">
        <f t="shared" si="20"/>
        <v>16370.410958904113</v>
      </c>
      <c r="R48" s="321">
        <f t="shared" si="20"/>
        <v>16370.410958904113</v>
      </c>
      <c r="S48" s="321">
        <f t="shared" si="20"/>
        <v>16370.410958904113</v>
      </c>
    </row>
    <row r="49" spans="2:19" x14ac:dyDescent="0.2">
      <c r="B49" t="s">
        <v>252</v>
      </c>
      <c r="D49" s="224">
        <v>15</v>
      </c>
      <c r="E49" s="224"/>
      <c r="F49" s="224"/>
      <c r="H49" s="321">
        <f>+H43*$D$49/365</f>
        <v>1129.2425205479453</v>
      </c>
      <c r="I49" s="321">
        <f>+I43*$D$49/180</f>
        <v>3333.3333333333335</v>
      </c>
      <c r="J49" s="321">
        <f>+J43*$D$49/180</f>
        <v>3333.3333333333335</v>
      </c>
      <c r="K49" s="321">
        <f>+K43*$D$49/365</f>
        <v>3506.849315068494</v>
      </c>
      <c r="L49" s="321">
        <f t="shared" ref="L49:S49" si="21">+L43*$D$49/365</f>
        <v>3452.0547945205485</v>
      </c>
      <c r="M49" s="321">
        <f t="shared" si="21"/>
        <v>3643.8356164383567</v>
      </c>
      <c r="N49" s="321">
        <f t="shared" si="21"/>
        <v>3720.5479452054801</v>
      </c>
      <c r="O49" s="321">
        <f t="shared" si="21"/>
        <v>3720.5479452054801</v>
      </c>
      <c r="P49" s="321">
        <f t="shared" si="21"/>
        <v>3720.5479452054801</v>
      </c>
      <c r="Q49" s="321">
        <f t="shared" si="21"/>
        <v>3720.5479452054801</v>
      </c>
      <c r="R49" s="321">
        <f t="shared" si="21"/>
        <v>3720.5479452054801</v>
      </c>
      <c r="S49" s="321">
        <f t="shared" si="21"/>
        <v>3720.5479452054801</v>
      </c>
    </row>
    <row r="50" spans="2:19" x14ac:dyDescent="0.2">
      <c r="B50" t="s">
        <v>16</v>
      </c>
      <c r="D50" s="224">
        <v>20</v>
      </c>
      <c r="E50" s="224"/>
      <c r="F50" s="224"/>
      <c r="H50" s="321">
        <f>-H44*$D$50/365</f>
        <v>1392.7324420091327</v>
      </c>
      <c r="I50" s="321">
        <f>-I44*$D$50/180</f>
        <v>4111.1111111111113</v>
      </c>
      <c r="J50" s="321">
        <f>-J44*$D$50/180</f>
        <v>4111.1111111111113</v>
      </c>
      <c r="K50" s="321">
        <f t="shared" ref="K50:S50" si="22">-K44*$D$50/365</f>
        <v>4325.1141552511426</v>
      </c>
      <c r="L50" s="321">
        <f t="shared" si="22"/>
        <v>4257.5342465753429</v>
      </c>
      <c r="M50" s="321">
        <f t="shared" si="22"/>
        <v>4494.0639269406402</v>
      </c>
      <c r="N50" s="321">
        <f t="shared" si="22"/>
        <v>4588.6757990867591</v>
      </c>
      <c r="O50" s="321">
        <f t="shared" si="22"/>
        <v>4588.6757990867591</v>
      </c>
      <c r="P50" s="321">
        <f t="shared" si="22"/>
        <v>4588.6757990867591</v>
      </c>
      <c r="Q50" s="321">
        <f t="shared" si="22"/>
        <v>4588.6757990867591</v>
      </c>
      <c r="R50" s="321">
        <f t="shared" si="22"/>
        <v>4588.6757990867591</v>
      </c>
      <c r="S50" s="321">
        <f t="shared" si="22"/>
        <v>4588.6757990867591</v>
      </c>
    </row>
    <row r="52" spans="2:19" x14ac:dyDescent="0.2">
      <c r="B52" t="s">
        <v>100</v>
      </c>
      <c r="H52" s="321">
        <f t="shared" ref="H52:S52" si="23">+H48+H49-H50</f>
        <v>4705.1771689497718</v>
      </c>
      <c r="I52" s="321">
        <f t="shared" si="23"/>
        <v>13888.888888888889</v>
      </c>
      <c r="J52" s="321">
        <f t="shared" si="23"/>
        <v>13888.888888888889</v>
      </c>
      <c r="K52" s="321">
        <f t="shared" si="23"/>
        <v>14611.872146118723</v>
      </c>
      <c r="L52" s="321">
        <f t="shared" si="23"/>
        <v>14383.561643835619</v>
      </c>
      <c r="M52" s="321">
        <f t="shared" si="23"/>
        <v>15182.648401826487</v>
      </c>
      <c r="N52" s="321">
        <f t="shared" si="23"/>
        <v>15502.283105022834</v>
      </c>
      <c r="O52" s="321">
        <f t="shared" si="23"/>
        <v>15502.283105022834</v>
      </c>
      <c r="P52" s="321">
        <f t="shared" si="23"/>
        <v>15502.283105022834</v>
      </c>
      <c r="Q52" s="321">
        <f t="shared" si="23"/>
        <v>15502.283105022834</v>
      </c>
      <c r="R52" s="321">
        <f t="shared" si="23"/>
        <v>15502.283105022834</v>
      </c>
      <c r="S52" s="321">
        <f t="shared" si="23"/>
        <v>15502.283105022834</v>
      </c>
    </row>
    <row r="53" spans="2:19" x14ac:dyDescent="0.2">
      <c r="B53" t="s">
        <v>583</v>
      </c>
      <c r="H53" s="650" t="s">
        <v>238</v>
      </c>
      <c r="I53" s="450">
        <f t="shared" ref="I53:S53" si="24">+H52-I52</f>
        <v>-9183.7117199391178</v>
      </c>
      <c r="J53" s="450">
        <f t="shared" si="24"/>
        <v>0</v>
      </c>
      <c r="K53" s="450">
        <f t="shared" si="24"/>
        <v>-722.98325722983463</v>
      </c>
      <c r="L53" s="450">
        <f t="shared" si="24"/>
        <v>228.31050228310414</v>
      </c>
      <c r="M53" s="450">
        <f t="shared" si="24"/>
        <v>-799.08675799086814</v>
      </c>
      <c r="N53" s="450">
        <f t="shared" si="24"/>
        <v>-319.63470319634689</v>
      </c>
      <c r="O53" s="450">
        <f t="shared" si="24"/>
        <v>0</v>
      </c>
      <c r="P53" s="450">
        <f t="shared" si="24"/>
        <v>0</v>
      </c>
      <c r="Q53" s="450">
        <f t="shared" si="24"/>
        <v>0</v>
      </c>
      <c r="R53" s="450">
        <f t="shared" si="24"/>
        <v>0</v>
      </c>
      <c r="S53" s="450">
        <f t="shared" si="24"/>
        <v>0</v>
      </c>
    </row>
  </sheetData>
  <printOptions horizontalCentered="1"/>
  <pageMargins left="0.75" right="0.75" top="0.53" bottom="1" header="0.5" footer="0.5"/>
  <pageSetup scale="67" orientation="landscape" verticalDpi="200" r:id="rId1"/>
  <headerFooter alignWithMargins="0">
    <oddFooter>&amp;L&amp;7&amp;D &amp;T&amp;C&amp;8&amp;P&amp;R&amp;7o:/Corpdev/North America/Raul/Ammonia/&amp;F</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84"/>
  <sheetViews>
    <sheetView topLeftCell="A7" zoomScaleNormal="100" workbookViewId="0">
      <selection activeCell="B33" sqref="B33"/>
    </sheetView>
  </sheetViews>
  <sheetFormatPr defaultRowHeight="12.75" x14ac:dyDescent="0.2"/>
  <cols>
    <col min="4" max="5" width="10.85546875" bestFit="1" customWidth="1"/>
    <col min="6" max="6" width="11.28515625" bestFit="1" customWidth="1"/>
    <col min="7" max="7" width="11.85546875" bestFit="1" customWidth="1"/>
    <col min="8" max="8" width="11.28515625" bestFit="1" customWidth="1"/>
    <col min="9" max="10" width="11.85546875" bestFit="1" customWidth="1"/>
    <col min="11" max="11" width="10.5703125" bestFit="1" customWidth="1"/>
    <col min="12" max="14" width="9.85546875" bestFit="1" customWidth="1"/>
  </cols>
  <sheetData>
    <row r="1" spans="1:42" ht="21" thickBot="1" x14ac:dyDescent="0.35">
      <c r="A1" s="365" t="s">
        <v>518</v>
      </c>
      <c r="B1" s="339"/>
      <c r="C1" s="339"/>
      <c r="D1" s="340"/>
      <c r="E1" s="340"/>
      <c r="F1" s="360"/>
      <c r="G1" s="360"/>
      <c r="H1" s="360"/>
      <c r="I1" s="360"/>
      <c r="J1" s="360"/>
      <c r="K1" s="360"/>
      <c r="L1" s="360"/>
      <c r="M1" s="360"/>
      <c r="N1" s="360"/>
      <c r="O1" s="774" t="s">
        <v>944</v>
      </c>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row>
    <row r="2" spans="1:42" ht="26.25" x14ac:dyDescent="0.4">
      <c r="A2" s="358"/>
      <c r="B2" s="388"/>
      <c r="C2" s="388"/>
      <c r="D2" s="389"/>
      <c r="E2" s="389"/>
      <c r="F2" s="359"/>
      <c r="O2" s="786" t="s">
        <v>659</v>
      </c>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row>
    <row r="3" spans="1:42" ht="26.25" x14ac:dyDescent="0.4">
      <c r="A3" s="358"/>
      <c r="B3" s="388"/>
      <c r="C3" s="388"/>
      <c r="D3" s="389"/>
      <c r="E3" s="389"/>
      <c r="F3" s="359"/>
      <c r="O3" s="786"/>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row>
    <row r="4" spans="1:42" ht="26.25" x14ac:dyDescent="0.4">
      <c r="A4" s="358"/>
      <c r="B4" s="388"/>
      <c r="C4" s="388"/>
      <c r="D4" s="389"/>
      <c r="E4" s="389"/>
      <c r="F4" s="359"/>
      <c r="O4" s="786"/>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row>
    <row r="5" spans="1:42" x14ac:dyDescent="0.2">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row>
    <row r="6" spans="1:42" ht="15.75" x14ac:dyDescent="0.25">
      <c r="A6" s="181" t="s">
        <v>940</v>
      </c>
      <c r="D6" s="758">
        <v>37072</v>
      </c>
      <c r="E6" s="758">
        <v>37257</v>
      </c>
      <c r="F6" s="758">
        <v>37622</v>
      </c>
      <c r="G6" s="758">
        <v>37987</v>
      </c>
      <c r="H6" s="758">
        <v>38353</v>
      </c>
      <c r="I6" s="758">
        <v>38718</v>
      </c>
      <c r="J6" s="758">
        <v>39083</v>
      </c>
      <c r="K6" s="758">
        <v>39448</v>
      </c>
      <c r="L6" s="758">
        <v>39814</v>
      </c>
      <c r="M6" s="758">
        <v>40179</v>
      </c>
      <c r="N6" s="758">
        <v>40544</v>
      </c>
      <c r="O6" s="169"/>
      <c r="P6" s="169"/>
      <c r="Q6" s="169"/>
      <c r="R6" s="169"/>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row>
    <row r="7" spans="1:42" x14ac:dyDescent="0.2">
      <c r="O7" s="169"/>
      <c r="P7" s="169"/>
      <c r="Q7" s="169"/>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row>
    <row r="8" spans="1:42" x14ac:dyDescent="0.2">
      <c r="A8" s="80" t="s">
        <v>935</v>
      </c>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row>
    <row r="9" spans="1:42" x14ac:dyDescent="0.2">
      <c r="E9" s="169"/>
      <c r="F9" s="169"/>
      <c r="G9" s="169"/>
      <c r="H9" s="169"/>
      <c r="I9" s="169"/>
      <c r="J9" s="169"/>
      <c r="K9" s="169"/>
      <c r="L9" s="169"/>
      <c r="M9" s="169"/>
      <c r="N9" s="169"/>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row>
    <row r="10" spans="1:42" x14ac:dyDescent="0.2">
      <c r="A10" t="s">
        <v>939</v>
      </c>
      <c r="D10" s="801">
        <f ca="1">Dep!A60</f>
        <v>24145.862525677021</v>
      </c>
      <c r="E10" s="801">
        <f ca="1">D13</f>
        <v>23866.348150249072</v>
      </c>
      <c r="F10" s="801">
        <f t="shared" ref="F10:N10" ca="1" si="0">E13</f>
        <v>23298.986066059839</v>
      </c>
      <c r="G10" s="801">
        <f t="shared" ca="1" si="0"/>
        <v>22723.290648537273</v>
      </c>
      <c r="H10" s="801">
        <f t="shared" ca="1" si="0"/>
        <v>22139.261897681372</v>
      </c>
      <c r="I10" s="801">
        <f t="shared" ca="1" si="0"/>
        <v>21546.899813492138</v>
      </c>
      <c r="J10" s="801">
        <f t="shared" ca="1" si="0"/>
        <v>20946.204395969573</v>
      </c>
      <c r="K10" s="801">
        <f t="shared" ca="1" si="0"/>
        <v>20337.175645113672</v>
      </c>
      <c r="L10" s="801">
        <f t="shared" ca="1" si="0"/>
        <v>19719.813560924438</v>
      </c>
      <c r="M10" s="801">
        <f t="shared" ca="1" si="0"/>
        <v>19094.118143401873</v>
      </c>
      <c r="N10" s="801">
        <f t="shared" ca="1" si="0"/>
        <v>18460.089392545971</v>
      </c>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row>
    <row r="11" spans="1:42" x14ac:dyDescent="0.2">
      <c r="A11" t="s">
        <v>271</v>
      </c>
      <c r="D11" s="169">
        <f>-'Sea-3 Tampa'!J29</f>
        <v>125</v>
      </c>
      <c r="E11" s="169">
        <f>-'Sea-3 Tampa'!K29</f>
        <v>250</v>
      </c>
      <c r="F11" s="169">
        <f>-'Sea-3 Tampa'!L29</f>
        <v>250</v>
      </c>
      <c r="G11" s="169">
        <f>-'Sea-3 Tampa'!M29</f>
        <v>250</v>
      </c>
      <c r="H11" s="169">
        <f>-'Sea-3 Tampa'!N29</f>
        <v>250</v>
      </c>
      <c r="I11" s="169">
        <f>-'Sea-3 Tampa'!O29</f>
        <v>250</v>
      </c>
      <c r="J11" s="169">
        <f>-'Sea-3 Tampa'!P29</f>
        <v>250</v>
      </c>
      <c r="K11" s="169">
        <f>-'Sea-3 Tampa'!Q29</f>
        <v>250</v>
      </c>
      <c r="L11" s="169">
        <f>-'Sea-3 Tampa'!R29</f>
        <v>250</v>
      </c>
      <c r="M11" s="169">
        <f>-'Sea-3 Tampa'!S29</f>
        <v>250</v>
      </c>
      <c r="N11" s="169">
        <f>-'Sea-3 Tampa'!T29</f>
        <v>250</v>
      </c>
      <c r="O11" s="169"/>
      <c r="P11" s="169"/>
      <c r="Q11" s="169"/>
      <c r="R11" s="169"/>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row>
    <row r="12" spans="1:42" x14ac:dyDescent="0.2">
      <c r="A12" t="s">
        <v>936</v>
      </c>
      <c r="D12" s="79">
        <f ca="1">'Sea-3 Tampa'!J23</f>
        <v>-404.51437542795031</v>
      </c>
      <c r="E12" s="79">
        <f ca="1">'Sea-3 Tampa'!K23</f>
        <v>-817.362084189234</v>
      </c>
      <c r="F12" s="79">
        <f ca="1">'Sea-3 Tampa'!L23</f>
        <v>-825.69541752256737</v>
      </c>
      <c r="G12" s="79">
        <f ca="1">'Sea-3 Tampa'!M23</f>
        <v>-834.02875085590063</v>
      </c>
      <c r="H12" s="79">
        <f ca="1">'Sea-3 Tampa'!N23</f>
        <v>-842.362084189234</v>
      </c>
      <c r="I12" s="79">
        <f ca="1">'Sea-3 Tampa'!O23</f>
        <v>-850.69541752256737</v>
      </c>
      <c r="J12" s="79">
        <f ca="1">'Sea-3 Tampa'!P23</f>
        <v>-859.02875085590063</v>
      </c>
      <c r="K12" s="79">
        <f ca="1">'Sea-3 Tampa'!Q23</f>
        <v>-867.362084189234</v>
      </c>
      <c r="L12" s="79">
        <f ca="1">'Sea-3 Tampa'!R23</f>
        <v>-875.69541752256737</v>
      </c>
      <c r="M12" s="79">
        <f ca="1">'Sea-3 Tampa'!S23</f>
        <v>-884.02875085590063</v>
      </c>
      <c r="N12" s="79">
        <f ca="1">'Sea-3 Tampa'!T23</f>
        <v>-892.362084189234</v>
      </c>
      <c r="O12" s="169"/>
      <c r="P12" s="169"/>
      <c r="Q12" s="169"/>
      <c r="R12" s="169"/>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row>
    <row r="13" spans="1:42" x14ac:dyDescent="0.2">
      <c r="A13" t="s">
        <v>937</v>
      </c>
      <c r="D13" s="801">
        <f t="shared" ref="D13:N13" ca="1" si="1">SUM(D10:D12)</f>
        <v>23866.348150249072</v>
      </c>
      <c r="E13" s="801">
        <f t="shared" ca="1" si="1"/>
        <v>23298.986066059839</v>
      </c>
      <c r="F13" s="801">
        <f t="shared" ca="1" si="1"/>
        <v>22723.290648537273</v>
      </c>
      <c r="G13" s="801">
        <f t="shared" ca="1" si="1"/>
        <v>22139.261897681372</v>
      </c>
      <c r="H13" s="801">
        <f t="shared" ca="1" si="1"/>
        <v>21546.899813492138</v>
      </c>
      <c r="I13" s="801">
        <f t="shared" ca="1" si="1"/>
        <v>20946.204395969573</v>
      </c>
      <c r="J13" s="801">
        <f t="shared" ca="1" si="1"/>
        <v>20337.175645113672</v>
      </c>
      <c r="K13" s="801">
        <f t="shared" ca="1" si="1"/>
        <v>19719.813560924438</v>
      </c>
      <c r="L13" s="801">
        <f t="shared" ca="1" si="1"/>
        <v>19094.118143401873</v>
      </c>
      <c r="M13" s="801">
        <f t="shared" ca="1" si="1"/>
        <v>18460.089392545971</v>
      </c>
      <c r="N13" s="801">
        <f t="shared" ca="1" si="1"/>
        <v>17817.727308356738</v>
      </c>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row>
    <row r="14" spans="1:42" x14ac:dyDescent="0.2">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row>
    <row r="15" spans="1:42" x14ac:dyDescent="0.2">
      <c r="A15" s="80" t="s">
        <v>938</v>
      </c>
      <c r="D15" s="169"/>
      <c r="E15" s="169"/>
      <c r="F15" s="169"/>
      <c r="G15" s="169"/>
      <c r="H15" s="169"/>
      <c r="I15" s="169"/>
      <c r="J15" s="169"/>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row>
    <row r="16" spans="1:42" x14ac:dyDescent="0.2">
      <c r="D16" s="169"/>
      <c r="E16" s="169"/>
      <c r="F16" s="169"/>
      <c r="G16" s="169"/>
      <c r="H16" s="169"/>
      <c r="I16" s="169"/>
      <c r="J16" s="169"/>
      <c r="K16" s="169"/>
      <c r="L16" s="169"/>
      <c r="M16" s="169"/>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row>
    <row r="17" spans="1:42" x14ac:dyDescent="0.2">
      <c r="A17" t="s">
        <v>939</v>
      </c>
      <c r="D17" s="801">
        <f ca="1">D10</f>
        <v>24145.862525677021</v>
      </c>
      <c r="E17" s="801">
        <f ca="1">D20</f>
        <v>22536.709398217397</v>
      </c>
      <c r="F17" s="801">
        <f t="shared" ref="F17:N17" ca="1" si="2">E20</f>
        <v>16807.050165679095</v>
      </c>
      <c r="G17" s="801">
        <f t="shared" ca="1" si="2"/>
        <v>12715.126309938183</v>
      </c>
      <c r="H17" s="801">
        <f t="shared" ca="1" si="2"/>
        <v>9793.020580481123</v>
      </c>
      <c r="I17" s="801">
        <f t="shared" ca="1" si="2"/>
        <v>7703.7325569381646</v>
      </c>
      <c r="J17" s="801">
        <f t="shared" ca="1" si="2"/>
        <v>5594.5466196477737</v>
      </c>
      <c r="K17" s="801">
        <f t="shared" ca="1" si="2"/>
        <v>3460.6335961048158</v>
      </c>
      <c r="L17" s="801">
        <f t="shared" ca="1" si="2"/>
        <v>2389.3031274596206</v>
      </c>
      <c r="M17" s="801">
        <f t="shared" ca="1" si="2"/>
        <v>655.14999999999736</v>
      </c>
      <c r="N17" s="801">
        <f t="shared" ca="1" si="2"/>
        <v>655.14999999999736</v>
      </c>
      <c r="O17" s="169"/>
      <c r="P17" s="16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row>
    <row r="18" spans="1:42" x14ac:dyDescent="0.2">
      <c r="A18" t="s">
        <v>271</v>
      </c>
      <c r="D18" s="169">
        <f>D11</f>
        <v>125</v>
      </c>
      <c r="E18" s="169">
        <f t="shared" ref="E18:N18" si="3">E11</f>
        <v>250</v>
      </c>
      <c r="F18" s="169">
        <f t="shared" si="3"/>
        <v>250</v>
      </c>
      <c r="G18" s="169">
        <f t="shared" si="3"/>
        <v>250</v>
      </c>
      <c r="H18" s="169">
        <f t="shared" si="3"/>
        <v>250</v>
      </c>
      <c r="I18" s="169">
        <f t="shared" si="3"/>
        <v>250</v>
      </c>
      <c r="J18" s="169">
        <f t="shared" si="3"/>
        <v>250</v>
      </c>
      <c r="K18" s="169">
        <f t="shared" si="3"/>
        <v>250</v>
      </c>
      <c r="L18" s="169">
        <f t="shared" si="3"/>
        <v>250</v>
      </c>
      <c r="M18" s="169">
        <f t="shared" si="3"/>
        <v>250</v>
      </c>
      <c r="N18" s="169">
        <f t="shared" si="3"/>
        <v>250</v>
      </c>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row>
    <row r="19" spans="1:42" x14ac:dyDescent="0.2">
      <c r="A19" t="s">
        <v>936</v>
      </c>
      <c r="D19" s="79">
        <f ca="1">-(Dep!F81+Dep!F87/2)/2</f>
        <v>-1734.1531274596232</v>
      </c>
      <c r="E19" s="79">
        <f ca="1">-(Dep!G81+Dep!G87/2)</f>
        <v>-5979.6592325383026</v>
      </c>
      <c r="F19" s="79">
        <f ca="1">-(Dep!H81+Dep!H87/2)</f>
        <v>-4341.9238557409108</v>
      </c>
      <c r="G19" s="79">
        <f ca="1">-(Dep!I81+Dep!I87/2)</f>
        <v>-3172.1057294570596</v>
      </c>
      <c r="H19" s="79">
        <f ca="1">-(Dep!J81+Dep!J87/2)</f>
        <v>-2339.2880235429579</v>
      </c>
      <c r="I19" s="79">
        <f ca="1">-(Dep!K81+Dep!K87/2)</f>
        <v>-2359.1859372903905</v>
      </c>
      <c r="J19" s="79">
        <f ca="1">-(Dep!L81+Dep!L87/2)</f>
        <v>-2383.9130235429579</v>
      </c>
      <c r="K19" s="79">
        <f ca="1">-(Dep!M81+Dep!M87/2)</f>
        <v>-1321.3304686451952</v>
      </c>
      <c r="L19" s="79">
        <f ca="1">-(Dep!N81+Dep!N87/2)+D19</f>
        <v>-1984.1531274596232</v>
      </c>
      <c r="M19" s="79">
        <f ca="1">-(Dep!O81+Dep!O87/2)</f>
        <v>-250</v>
      </c>
      <c r="N19" s="79">
        <f ca="1">-(Dep!P81+Dep!P87/2)</f>
        <v>-250</v>
      </c>
      <c r="O19" s="169"/>
      <c r="P19" s="169"/>
      <c r="Q19" s="169"/>
      <c r="R19" s="169"/>
      <c r="S19" s="169"/>
      <c r="T19" s="169"/>
      <c r="U19" s="169"/>
      <c r="V19" s="169"/>
      <c r="W19" s="169"/>
      <c r="X19" s="169"/>
      <c r="Y19" s="169"/>
      <c r="Z19" s="169"/>
      <c r="AA19" s="169"/>
      <c r="AB19" s="169"/>
      <c r="AC19" s="169"/>
      <c r="AD19" s="169"/>
      <c r="AE19" s="169"/>
      <c r="AF19" s="169"/>
      <c r="AG19" s="169"/>
      <c r="AH19" s="169"/>
      <c r="AI19" s="169"/>
      <c r="AJ19" s="169"/>
      <c r="AK19" s="169"/>
      <c r="AL19" s="169"/>
      <c r="AM19" s="169"/>
      <c r="AN19" s="169"/>
      <c r="AO19" s="169"/>
      <c r="AP19" s="169"/>
    </row>
    <row r="20" spans="1:42" x14ac:dyDescent="0.2">
      <c r="A20" t="s">
        <v>937</v>
      </c>
      <c r="D20" s="801">
        <f t="shared" ref="D20:N20" ca="1" si="4">SUM(D17:D19)</f>
        <v>22536.709398217397</v>
      </c>
      <c r="E20" s="801">
        <f t="shared" ca="1" si="4"/>
        <v>16807.050165679095</v>
      </c>
      <c r="F20" s="801">
        <f t="shared" ca="1" si="4"/>
        <v>12715.126309938183</v>
      </c>
      <c r="G20" s="801">
        <f t="shared" ca="1" si="4"/>
        <v>9793.020580481123</v>
      </c>
      <c r="H20" s="801">
        <f t="shared" ca="1" si="4"/>
        <v>7703.7325569381646</v>
      </c>
      <c r="I20" s="801">
        <f t="shared" ca="1" si="4"/>
        <v>5594.5466196477737</v>
      </c>
      <c r="J20" s="801">
        <f t="shared" ca="1" si="4"/>
        <v>3460.6335961048158</v>
      </c>
      <c r="K20" s="801">
        <f t="shared" ca="1" si="4"/>
        <v>2389.3031274596206</v>
      </c>
      <c r="L20" s="801">
        <f t="shared" ca="1" si="4"/>
        <v>655.14999999999736</v>
      </c>
      <c r="M20" s="801">
        <f t="shared" ca="1" si="4"/>
        <v>655.14999999999736</v>
      </c>
      <c r="N20" s="801">
        <f t="shared" ca="1" si="4"/>
        <v>655.14999999999736</v>
      </c>
      <c r="O20" s="169"/>
      <c r="P20" s="169"/>
      <c r="Q20" s="169"/>
      <c r="R20" s="169"/>
      <c r="S20" s="169"/>
      <c r="T20" s="169"/>
      <c r="U20" s="169"/>
      <c r="V20" s="169"/>
      <c r="W20" s="169"/>
      <c r="X20" s="169"/>
      <c r="Y20" s="169"/>
      <c r="Z20" s="169"/>
      <c r="AA20" s="169"/>
      <c r="AB20" s="169"/>
      <c r="AC20" s="169"/>
      <c r="AD20" s="169"/>
      <c r="AE20" s="169"/>
      <c r="AF20" s="169"/>
      <c r="AG20" s="169"/>
      <c r="AH20" s="169"/>
      <c r="AI20" s="169"/>
      <c r="AJ20" s="169"/>
      <c r="AK20" s="169"/>
      <c r="AL20" s="169"/>
      <c r="AM20" s="169"/>
      <c r="AN20" s="169"/>
      <c r="AO20" s="169"/>
      <c r="AP20" s="169"/>
    </row>
    <row r="21" spans="1:42" x14ac:dyDescent="0.2">
      <c r="E21" s="169"/>
      <c r="F21" s="169"/>
      <c r="G21" s="169"/>
      <c r="H21" s="169"/>
      <c r="I21" s="169"/>
      <c r="J21" s="169"/>
      <c r="K21" s="169"/>
      <c r="L21" s="169"/>
      <c r="M21" s="169"/>
      <c r="N21" s="169"/>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L21" s="169"/>
      <c r="AM21" s="169"/>
      <c r="AN21" s="169"/>
      <c r="AO21" s="169"/>
      <c r="AP21" s="169"/>
    </row>
    <row r="22" spans="1:42" x14ac:dyDescent="0.2">
      <c r="A22" t="s">
        <v>938</v>
      </c>
      <c r="D22" s="76">
        <f ca="1">D19</f>
        <v>-1734.1531274596232</v>
      </c>
      <c r="E22" s="76">
        <f t="shared" ref="E22:N22" ca="1" si="5">E19</f>
        <v>-5979.6592325383026</v>
      </c>
      <c r="F22" s="76">
        <f t="shared" ca="1" si="5"/>
        <v>-4341.9238557409108</v>
      </c>
      <c r="G22" s="76">
        <f t="shared" ca="1" si="5"/>
        <v>-3172.1057294570596</v>
      </c>
      <c r="H22" s="76">
        <f t="shared" ca="1" si="5"/>
        <v>-2339.2880235429579</v>
      </c>
      <c r="I22" s="76">
        <f t="shared" ca="1" si="5"/>
        <v>-2359.1859372903905</v>
      </c>
      <c r="J22" s="76">
        <f t="shared" ca="1" si="5"/>
        <v>-2383.9130235429579</v>
      </c>
      <c r="K22" s="76">
        <f t="shared" ca="1" si="5"/>
        <v>-1321.3304686451952</v>
      </c>
      <c r="L22" s="76">
        <f t="shared" ca="1" si="5"/>
        <v>-1984.1531274596232</v>
      </c>
      <c r="M22" s="76">
        <f t="shared" ca="1" si="5"/>
        <v>-250</v>
      </c>
      <c r="N22" s="76">
        <f t="shared" ca="1" si="5"/>
        <v>-250</v>
      </c>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s="169"/>
      <c r="AM22" s="169"/>
      <c r="AN22" s="169"/>
      <c r="AO22" s="169"/>
      <c r="AP22" s="169"/>
    </row>
    <row r="23" spans="1:42" x14ac:dyDescent="0.2">
      <c r="A23" t="s">
        <v>935</v>
      </c>
      <c r="D23" s="76">
        <f ca="1">D12</f>
        <v>-404.51437542795031</v>
      </c>
      <c r="E23" s="76">
        <f t="shared" ref="E23:N23" ca="1" si="6">E12</f>
        <v>-817.362084189234</v>
      </c>
      <c r="F23" s="76">
        <f t="shared" ca="1" si="6"/>
        <v>-825.69541752256737</v>
      </c>
      <c r="G23" s="76">
        <f t="shared" ca="1" si="6"/>
        <v>-834.02875085590063</v>
      </c>
      <c r="H23" s="76">
        <f t="shared" ca="1" si="6"/>
        <v>-842.362084189234</v>
      </c>
      <c r="I23" s="76">
        <f t="shared" ca="1" si="6"/>
        <v>-850.69541752256737</v>
      </c>
      <c r="J23" s="76">
        <f t="shared" ca="1" si="6"/>
        <v>-859.02875085590063</v>
      </c>
      <c r="K23" s="76">
        <f t="shared" ca="1" si="6"/>
        <v>-867.362084189234</v>
      </c>
      <c r="L23" s="76">
        <f t="shared" ca="1" si="6"/>
        <v>-875.69541752256737</v>
      </c>
      <c r="M23" s="76">
        <f t="shared" ca="1" si="6"/>
        <v>-884.02875085590063</v>
      </c>
      <c r="N23" s="76">
        <f t="shared" ca="1" si="6"/>
        <v>-892.362084189234</v>
      </c>
      <c r="O23" s="169"/>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row>
    <row r="24" spans="1:42" x14ac:dyDescent="0.2">
      <c r="A24" t="s">
        <v>962</v>
      </c>
      <c r="D24" s="794">
        <f ca="1">D23-D22</f>
        <v>1329.638752031673</v>
      </c>
      <c r="E24" s="794">
        <f t="shared" ref="E24:N24" ca="1" si="7">E23-E22</f>
        <v>5162.2971483490683</v>
      </c>
      <c r="F24" s="794">
        <f t="shared" ca="1" si="7"/>
        <v>3516.2284382183434</v>
      </c>
      <c r="G24" s="794">
        <f t="shared" ca="1" si="7"/>
        <v>2338.0769786011588</v>
      </c>
      <c r="H24" s="794">
        <f t="shared" ca="1" si="7"/>
        <v>1496.9259393537241</v>
      </c>
      <c r="I24" s="794">
        <f t="shared" ca="1" si="7"/>
        <v>1508.4905197678231</v>
      </c>
      <c r="J24" s="794">
        <f t="shared" ca="1" si="7"/>
        <v>1524.8842726870573</v>
      </c>
      <c r="K24" s="794">
        <f t="shared" ca="1" si="7"/>
        <v>453.9683844559612</v>
      </c>
      <c r="L24" s="794">
        <f t="shared" ca="1" si="7"/>
        <v>1108.4577099370558</v>
      </c>
      <c r="M24" s="794">
        <f t="shared" ca="1" si="7"/>
        <v>-634.02875085590063</v>
      </c>
      <c r="N24" s="794">
        <f t="shared" ca="1" si="7"/>
        <v>-642.362084189234</v>
      </c>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c r="AM24" s="169"/>
      <c r="AN24" s="169"/>
      <c r="AO24" s="169"/>
      <c r="AP24" s="169"/>
    </row>
    <row r="25" spans="1:42" x14ac:dyDescent="0.2">
      <c r="A25" t="s">
        <v>959</v>
      </c>
      <c r="D25" s="801">
        <f ca="1">D24*Assumptions!$B$8</f>
        <v>465.37356321108552</v>
      </c>
      <c r="E25" s="801">
        <f ca="1">E24*Assumptions!$B$8</f>
        <v>1806.8040019221737</v>
      </c>
      <c r="F25" s="801">
        <f ca="1">F24*Assumptions!$B$8</f>
        <v>1230.6799533764201</v>
      </c>
      <c r="G25" s="801">
        <f ca="1">G24*Assumptions!$B$8</f>
        <v>818.3269425104055</v>
      </c>
      <c r="H25" s="801">
        <f ca="1">H24*Assumptions!$B$8</f>
        <v>523.92407877380344</v>
      </c>
      <c r="I25" s="801">
        <f ca="1">I24*Assumptions!$B$8</f>
        <v>527.97168191873811</v>
      </c>
      <c r="J25" s="801">
        <f ca="1">J24*Assumptions!$B$8</f>
        <v>533.70949544047005</v>
      </c>
      <c r="K25" s="801">
        <f ca="1">K24*Assumptions!$B$8</f>
        <v>158.8889345595864</v>
      </c>
      <c r="L25" s="801">
        <f ca="1">L24*Assumptions!$B$8</f>
        <v>387.96019847796953</v>
      </c>
      <c r="M25" s="801">
        <f ca="1">M24*Assumptions!$B$8</f>
        <v>-221.9100627995652</v>
      </c>
      <c r="N25" s="801">
        <f ca="1">N24*Assumptions!$B$8</f>
        <v>-224.82672946623188</v>
      </c>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row>
    <row r="26" spans="1:42" x14ac:dyDescent="0.2">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row>
    <row r="27" spans="1:42" x14ac:dyDescent="0.2">
      <c r="E27" s="169"/>
      <c r="F27" s="169"/>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c r="AO27" s="169"/>
      <c r="AP27" s="169"/>
    </row>
    <row r="28" spans="1:42" x14ac:dyDescent="0.2">
      <c r="E28" s="169"/>
      <c r="F28" s="169"/>
      <c r="G28" s="169"/>
      <c r="H28" s="169"/>
      <c r="I28" s="169"/>
      <c r="J28" s="169"/>
      <c r="K28" s="169"/>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69"/>
      <c r="AL28" s="169"/>
      <c r="AM28" s="169"/>
      <c r="AN28" s="169"/>
      <c r="AO28" s="169"/>
      <c r="AP28" s="169"/>
    </row>
    <row r="29" spans="1:42" x14ac:dyDescent="0.2">
      <c r="E29" s="169"/>
      <c r="F29" s="169"/>
      <c r="G29" s="169"/>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row>
    <row r="30" spans="1:42" x14ac:dyDescent="0.2">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c r="AO30" s="169"/>
      <c r="AP30" s="169"/>
    </row>
    <row r="31" spans="1:42" x14ac:dyDescent="0.2">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row>
    <row r="32" spans="1:42" x14ac:dyDescent="0.2">
      <c r="E32" s="169"/>
      <c r="F32" s="169"/>
      <c r="G32" s="169"/>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row>
    <row r="33" spans="5:42" x14ac:dyDescent="0.2">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row>
    <row r="34" spans="5:42" x14ac:dyDescent="0.2">
      <c r="E34" s="169"/>
      <c r="F34" s="169"/>
      <c r="G34" s="169"/>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row>
    <row r="35" spans="5:42" x14ac:dyDescent="0.2">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row>
    <row r="36" spans="5:42" x14ac:dyDescent="0.2">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row>
    <row r="37" spans="5:42" x14ac:dyDescent="0.2">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c r="AO37" s="169"/>
      <c r="AP37" s="169"/>
    </row>
    <row r="38" spans="5:42" x14ac:dyDescent="0.2">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69"/>
      <c r="AM38" s="169"/>
      <c r="AN38" s="169"/>
      <c r="AO38" s="169"/>
      <c r="AP38" s="169"/>
    </row>
    <row r="39" spans="5:42" x14ac:dyDescent="0.2">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69"/>
      <c r="AL39" s="169"/>
      <c r="AM39" s="169"/>
      <c r="AN39" s="169"/>
      <c r="AO39" s="169"/>
      <c r="AP39" s="169"/>
    </row>
    <row r="40" spans="5:42" x14ac:dyDescent="0.2">
      <c r="E40" s="169"/>
      <c r="F40" s="169"/>
      <c r="G40" s="169"/>
      <c r="H40" s="169"/>
      <c r="I40" s="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c r="AL40" s="169"/>
      <c r="AM40" s="169"/>
      <c r="AN40" s="169"/>
      <c r="AO40" s="169"/>
      <c r="AP40" s="169"/>
    </row>
    <row r="41" spans="5:42" x14ac:dyDescent="0.2">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row>
    <row r="42" spans="5:42" x14ac:dyDescent="0.2">
      <c r="E42" s="169"/>
      <c r="F42" s="169"/>
      <c r="G42" s="169"/>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row>
    <row r="43" spans="5:42" x14ac:dyDescent="0.2">
      <c r="E43" s="169"/>
      <c r="F43" s="169"/>
      <c r="G43" s="169"/>
      <c r="H43" s="169"/>
      <c r="I43" s="169"/>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row>
    <row r="44" spans="5:42" x14ac:dyDescent="0.2">
      <c r="E44" s="169"/>
      <c r="F44" s="169"/>
      <c r="G44" s="169"/>
      <c r="H44" s="169"/>
      <c r="I44" s="169"/>
      <c r="J44" s="169"/>
      <c r="K44" s="169"/>
      <c r="L44" s="169"/>
      <c r="M44" s="169"/>
      <c r="N44" s="169"/>
      <c r="O44" s="169"/>
      <c r="P44" s="169"/>
      <c r="Q44" s="169"/>
      <c r="R44" s="169"/>
      <c r="S44" s="169"/>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row>
    <row r="45" spans="5:42" x14ac:dyDescent="0.2">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row>
    <row r="46" spans="5:42" x14ac:dyDescent="0.2">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c r="AE46" s="169"/>
      <c r="AF46" s="169"/>
      <c r="AG46" s="169"/>
      <c r="AH46" s="169"/>
      <c r="AI46" s="169"/>
      <c r="AJ46" s="169"/>
      <c r="AK46" s="169"/>
      <c r="AL46" s="169"/>
      <c r="AM46" s="169"/>
      <c r="AN46" s="169"/>
      <c r="AO46" s="169"/>
      <c r="AP46" s="169"/>
    </row>
    <row r="47" spans="5:42" x14ac:dyDescent="0.2">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row>
    <row r="48" spans="5:42" x14ac:dyDescent="0.2">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row>
    <row r="49" spans="5:42" x14ac:dyDescent="0.2">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row>
    <row r="50" spans="5:42" x14ac:dyDescent="0.2">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row>
    <row r="51" spans="5:42" x14ac:dyDescent="0.2">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row>
    <row r="52" spans="5:42" x14ac:dyDescent="0.2">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row>
    <row r="53" spans="5:42" x14ac:dyDescent="0.2">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row>
    <row r="54" spans="5:42" x14ac:dyDescent="0.2">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row>
    <row r="55" spans="5:42" x14ac:dyDescent="0.2">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row>
    <row r="56" spans="5:42" x14ac:dyDescent="0.2">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row>
    <row r="57" spans="5:42" x14ac:dyDescent="0.2">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row>
    <row r="58" spans="5:42" x14ac:dyDescent="0.2">
      <c r="E58" s="169"/>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row>
    <row r="59" spans="5:42" x14ac:dyDescent="0.2">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row>
    <row r="60" spans="5:42" x14ac:dyDescent="0.2">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row>
    <row r="61" spans="5:42" x14ac:dyDescent="0.2">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row>
    <row r="62" spans="5:42" x14ac:dyDescent="0.2">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row>
    <row r="63" spans="5:42" x14ac:dyDescent="0.2">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row>
    <row r="64" spans="5:42" x14ac:dyDescent="0.2">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row>
    <row r="65" spans="5:42" x14ac:dyDescent="0.2">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row>
    <row r="66" spans="5:42" x14ac:dyDescent="0.2">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row>
    <row r="67" spans="5:42" x14ac:dyDescent="0.2">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row>
    <row r="68" spans="5:42" x14ac:dyDescent="0.2">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row>
    <row r="69" spans="5:42" x14ac:dyDescent="0.2">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row>
    <row r="70" spans="5:42" x14ac:dyDescent="0.2">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row>
    <row r="71" spans="5:42" x14ac:dyDescent="0.2">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row>
    <row r="72" spans="5:42" x14ac:dyDescent="0.2">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row>
    <row r="73" spans="5:42" x14ac:dyDescent="0.2">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row>
    <row r="74" spans="5:42" x14ac:dyDescent="0.2">
      <c r="E74" s="169"/>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row>
    <row r="75" spans="5:42" x14ac:dyDescent="0.2">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row>
    <row r="76" spans="5:42" x14ac:dyDescent="0.2">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row>
    <row r="77" spans="5:42" x14ac:dyDescent="0.2">
      <c r="E77" s="169"/>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row>
    <row r="78" spans="5:42" x14ac:dyDescent="0.2">
      <c r="E78" s="169"/>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row>
    <row r="79" spans="5:42" x14ac:dyDescent="0.2">
      <c r="E79" s="169"/>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row>
    <row r="80" spans="5:42" x14ac:dyDescent="0.2">
      <c r="E80" s="169"/>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row>
    <row r="81" spans="5:42" x14ac:dyDescent="0.2">
      <c r="E81" s="169"/>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row>
    <row r="82" spans="5:42" x14ac:dyDescent="0.2">
      <c r="E82" s="169"/>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row>
    <row r="83" spans="5:42" x14ac:dyDescent="0.2">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row>
    <row r="84" spans="5:42" x14ac:dyDescent="0.2">
      <c r="E84" s="169"/>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row>
    <row r="85" spans="5:42" x14ac:dyDescent="0.2">
      <c r="E85" s="169"/>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row>
    <row r="86" spans="5:42" x14ac:dyDescent="0.2">
      <c r="E86" s="169"/>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row>
    <row r="87" spans="5:42" x14ac:dyDescent="0.2">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row>
    <row r="88" spans="5:42" x14ac:dyDescent="0.2">
      <c r="E88" s="169"/>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row>
    <row r="89" spans="5:42" x14ac:dyDescent="0.2">
      <c r="E89" s="169"/>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row>
    <row r="90" spans="5:42" x14ac:dyDescent="0.2">
      <c r="E90" s="169"/>
      <c r="F90" s="169"/>
      <c r="G90" s="169"/>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row>
    <row r="91" spans="5:42" x14ac:dyDescent="0.2">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row>
    <row r="92" spans="5:42" x14ac:dyDescent="0.2">
      <c r="E92" s="169"/>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row>
    <row r="93" spans="5:42" x14ac:dyDescent="0.2">
      <c r="E93" s="169"/>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row>
    <row r="94" spans="5:42" x14ac:dyDescent="0.2">
      <c r="E94" s="169"/>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row>
    <row r="95" spans="5:42" x14ac:dyDescent="0.2">
      <c r="E95" s="169"/>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row>
    <row r="96" spans="5:42" x14ac:dyDescent="0.2">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row>
    <row r="97" spans="5:42" x14ac:dyDescent="0.2">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row>
    <row r="98" spans="5:42" x14ac:dyDescent="0.2">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row>
    <row r="99" spans="5:42" x14ac:dyDescent="0.2">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row>
    <row r="100" spans="5:42" x14ac:dyDescent="0.2">
      <c r="E100" s="169"/>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row>
    <row r="101" spans="5:42" x14ac:dyDescent="0.2">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row>
    <row r="102" spans="5:42" x14ac:dyDescent="0.2">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row>
    <row r="103" spans="5:42" x14ac:dyDescent="0.2">
      <c r="E103" s="169"/>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row>
    <row r="104" spans="5:42" x14ac:dyDescent="0.2">
      <c r="E104" s="169"/>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row>
    <row r="105" spans="5:42" x14ac:dyDescent="0.2">
      <c r="E105" s="169"/>
      <c r="F105" s="169"/>
      <c r="G105" s="169"/>
      <c r="H105" s="169"/>
      <c r="I105" s="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row>
    <row r="106" spans="5:42" x14ac:dyDescent="0.2">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row>
    <row r="107" spans="5:42" x14ac:dyDescent="0.2">
      <c r="E107" s="169"/>
      <c r="F107" s="169"/>
      <c r="G107" s="169"/>
      <c r="H107" s="169"/>
      <c r="I107" s="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row>
    <row r="108" spans="5:42" x14ac:dyDescent="0.2">
      <c r="E108" s="169"/>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row>
    <row r="109" spans="5:42" x14ac:dyDescent="0.2">
      <c r="E109" s="169"/>
      <c r="F109" s="169"/>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row>
    <row r="110" spans="5:42" x14ac:dyDescent="0.2">
      <c r="E110" s="169"/>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row>
    <row r="111" spans="5:42" x14ac:dyDescent="0.2">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row>
    <row r="112" spans="5:42" x14ac:dyDescent="0.2">
      <c r="E112" s="169"/>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row>
    <row r="113" spans="5:42" x14ac:dyDescent="0.2">
      <c r="E113" s="169"/>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row>
    <row r="114" spans="5:42" x14ac:dyDescent="0.2">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row>
    <row r="115" spans="5:42" x14ac:dyDescent="0.2">
      <c r="E115" s="169"/>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row>
    <row r="116" spans="5:42" x14ac:dyDescent="0.2">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row>
    <row r="117" spans="5:42" x14ac:dyDescent="0.2">
      <c r="E117" s="169"/>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row>
    <row r="118" spans="5:42" x14ac:dyDescent="0.2">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row>
    <row r="119" spans="5:42" x14ac:dyDescent="0.2">
      <c r="E119" s="169"/>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row>
    <row r="120" spans="5:42" x14ac:dyDescent="0.2">
      <c r="E120" s="169"/>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row>
    <row r="121" spans="5:42" x14ac:dyDescent="0.2">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row>
    <row r="122" spans="5:42" x14ac:dyDescent="0.2">
      <c r="E122" s="169"/>
      <c r="F122" s="169"/>
      <c r="G122" s="169"/>
      <c r="H122" s="169"/>
      <c r="I122" s="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row>
    <row r="123" spans="5:42" x14ac:dyDescent="0.2">
      <c r="E123" s="169"/>
      <c r="F123" s="169"/>
      <c r="G123" s="169"/>
      <c r="H123" s="169"/>
      <c r="I123" s="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row>
    <row r="124" spans="5:42" x14ac:dyDescent="0.2">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row>
    <row r="125" spans="5:42" x14ac:dyDescent="0.2">
      <c r="E125" s="169"/>
      <c r="F125" s="169"/>
      <c r="G125" s="169"/>
      <c r="H125" s="169"/>
      <c r="I125" s="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row>
    <row r="126" spans="5:42" x14ac:dyDescent="0.2">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row>
    <row r="127" spans="5:42" x14ac:dyDescent="0.2">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row>
    <row r="128" spans="5:42" x14ac:dyDescent="0.2">
      <c r="E128" s="169"/>
      <c r="F128" s="169"/>
      <c r="G128" s="169"/>
      <c r="H128" s="169"/>
      <c r="I128" s="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row>
    <row r="129" spans="5:42" x14ac:dyDescent="0.2">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row>
    <row r="130" spans="5:42" x14ac:dyDescent="0.2">
      <c r="E130" s="169"/>
      <c r="F130" s="169"/>
      <c r="G130" s="169"/>
      <c r="H130" s="169"/>
      <c r="I130" s="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row>
    <row r="131" spans="5:42" x14ac:dyDescent="0.2">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row>
    <row r="132" spans="5:42" x14ac:dyDescent="0.2">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row>
    <row r="133" spans="5:42" x14ac:dyDescent="0.2">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row>
    <row r="134" spans="5:42" x14ac:dyDescent="0.2">
      <c r="E134" s="169"/>
      <c r="F134" s="169"/>
      <c r="G134" s="169"/>
      <c r="H134" s="169"/>
      <c r="I134" s="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row>
    <row r="135" spans="5:42" x14ac:dyDescent="0.2">
      <c r="E135" s="169"/>
      <c r="F135" s="169"/>
      <c r="G135" s="169"/>
      <c r="H135" s="169"/>
      <c r="I135" s="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row>
    <row r="136" spans="5:42" x14ac:dyDescent="0.2">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row>
    <row r="137" spans="5:42" x14ac:dyDescent="0.2">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row>
    <row r="138" spans="5:42" x14ac:dyDescent="0.2">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row>
    <row r="139" spans="5:42" x14ac:dyDescent="0.2">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row>
    <row r="140" spans="5:42" x14ac:dyDescent="0.2">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row>
    <row r="141" spans="5:42" x14ac:dyDescent="0.2">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row>
    <row r="142" spans="5:42" x14ac:dyDescent="0.2">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row>
    <row r="143" spans="5:42" x14ac:dyDescent="0.2">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row>
    <row r="144" spans="5:42" x14ac:dyDescent="0.2">
      <c r="E144" s="169"/>
      <c r="F144" s="169"/>
      <c r="G144" s="169"/>
      <c r="H144" s="169"/>
      <c r="I144" s="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row>
    <row r="145" spans="5:42" x14ac:dyDescent="0.2">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row>
    <row r="146" spans="5:42" x14ac:dyDescent="0.2">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row>
    <row r="147" spans="5:42" x14ac:dyDescent="0.2">
      <c r="E147" s="169"/>
      <c r="F147" s="169"/>
      <c r="G147" s="169"/>
      <c r="H147" s="169"/>
      <c r="I147" s="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row>
    <row r="148" spans="5:42" x14ac:dyDescent="0.2">
      <c r="E148" s="169"/>
      <c r="F148" s="169"/>
      <c r="G148" s="169"/>
      <c r="H148" s="169"/>
      <c r="I148" s="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row>
    <row r="149" spans="5:42" x14ac:dyDescent="0.2">
      <c r="E149" s="169"/>
      <c r="F149" s="169"/>
      <c r="G149" s="169"/>
      <c r="H149" s="169"/>
      <c r="I149" s="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row>
    <row r="150" spans="5:42" x14ac:dyDescent="0.2">
      <c r="E150" s="169"/>
      <c r="F150" s="169"/>
      <c r="G150" s="169"/>
      <c r="H150" s="169"/>
      <c r="I150" s="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row>
    <row r="151" spans="5:42" x14ac:dyDescent="0.2">
      <c r="E151" s="169"/>
      <c r="F151" s="169"/>
      <c r="G151" s="169"/>
      <c r="H151" s="169"/>
      <c r="I151" s="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row>
    <row r="152" spans="5:42" x14ac:dyDescent="0.2">
      <c r="E152" s="169"/>
      <c r="F152" s="169"/>
      <c r="G152" s="169"/>
      <c r="H152" s="169"/>
      <c r="I152" s="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row>
    <row r="153" spans="5:42" x14ac:dyDescent="0.2">
      <c r="E153" s="169"/>
      <c r="F153" s="169"/>
      <c r="G153" s="169"/>
      <c r="H153" s="169"/>
      <c r="I153" s="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row>
    <row r="154" spans="5:42" x14ac:dyDescent="0.2">
      <c r="E154" s="169"/>
      <c r="F154" s="169"/>
      <c r="G154" s="169"/>
      <c r="H154" s="169"/>
      <c r="I154" s="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row>
    <row r="155" spans="5:42" x14ac:dyDescent="0.2">
      <c r="E155" s="169"/>
      <c r="F155" s="169"/>
      <c r="G155" s="169"/>
      <c r="H155" s="169"/>
      <c r="I155" s="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row>
    <row r="156" spans="5:42" x14ac:dyDescent="0.2">
      <c r="E156" s="169"/>
      <c r="F156" s="169"/>
      <c r="G156" s="169"/>
      <c r="H156" s="169"/>
      <c r="I156" s="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row>
    <row r="157" spans="5:42" x14ac:dyDescent="0.2">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row>
    <row r="158" spans="5:42" x14ac:dyDescent="0.2">
      <c r="E158" s="169"/>
      <c r="F158" s="169"/>
      <c r="G158" s="169"/>
      <c r="H158" s="169"/>
      <c r="I158" s="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row>
    <row r="159" spans="5:42" x14ac:dyDescent="0.2">
      <c r="E159" s="169"/>
      <c r="F159" s="169"/>
      <c r="G159" s="169"/>
      <c r="H159" s="169"/>
      <c r="I159" s="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row>
    <row r="160" spans="5:42" x14ac:dyDescent="0.2">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row>
    <row r="161" spans="5:42" x14ac:dyDescent="0.2">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row>
    <row r="162" spans="5:42" x14ac:dyDescent="0.2">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row>
    <row r="163" spans="5:42" x14ac:dyDescent="0.2">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row>
    <row r="164" spans="5:42" x14ac:dyDescent="0.2">
      <c r="E164" s="169"/>
      <c r="F164" s="169"/>
      <c r="G164" s="169"/>
      <c r="H164" s="169"/>
      <c r="I164" s="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row>
    <row r="165" spans="5:42" x14ac:dyDescent="0.2">
      <c r="E165" s="169"/>
      <c r="F165" s="169"/>
      <c r="G165" s="169"/>
      <c r="H165" s="169"/>
      <c r="I165" s="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row>
    <row r="166" spans="5:42" x14ac:dyDescent="0.2">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row>
    <row r="167" spans="5:42" x14ac:dyDescent="0.2">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row>
    <row r="168" spans="5:42" x14ac:dyDescent="0.2">
      <c r="E168" s="169"/>
      <c r="F168" s="169"/>
      <c r="G168" s="169"/>
      <c r="H168" s="169"/>
      <c r="I168" s="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row>
    <row r="169" spans="5:42" x14ac:dyDescent="0.2">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row>
    <row r="170" spans="5:42" x14ac:dyDescent="0.2">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row>
    <row r="171" spans="5:42" x14ac:dyDescent="0.2">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row>
    <row r="172" spans="5:42" x14ac:dyDescent="0.2">
      <c r="E172" s="169"/>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row>
    <row r="173" spans="5:42" x14ac:dyDescent="0.2">
      <c r="E173" s="169"/>
      <c r="F173" s="169"/>
      <c r="G173" s="169"/>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row>
    <row r="174" spans="5:42" x14ac:dyDescent="0.2">
      <c r="E174" s="169"/>
      <c r="F174" s="169"/>
      <c r="G174" s="169"/>
      <c r="H174" s="169"/>
      <c r="I174" s="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row>
    <row r="175" spans="5:42" x14ac:dyDescent="0.2">
      <c r="E175" s="169"/>
      <c r="F175" s="169"/>
      <c r="G175" s="169"/>
      <c r="H175" s="169"/>
      <c r="I175" s="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row>
    <row r="176" spans="5:42" x14ac:dyDescent="0.2">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row>
    <row r="177" spans="5:42" x14ac:dyDescent="0.2">
      <c r="E177" s="169"/>
      <c r="F177" s="169"/>
      <c r="G177" s="169"/>
      <c r="H177" s="169"/>
      <c r="I177" s="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row>
    <row r="178" spans="5:42" x14ac:dyDescent="0.2">
      <c r="E178" s="169"/>
      <c r="F178" s="169"/>
      <c r="G178" s="169"/>
      <c r="H178" s="169"/>
      <c r="I178" s="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row>
    <row r="179" spans="5:42" x14ac:dyDescent="0.2">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row>
    <row r="180" spans="5:42" x14ac:dyDescent="0.2">
      <c r="E180" s="169"/>
      <c r="F180" s="169"/>
      <c r="G180" s="169"/>
      <c r="H180" s="169"/>
      <c r="I180" s="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row>
    <row r="181" spans="5:42" x14ac:dyDescent="0.2">
      <c r="E181" s="169"/>
      <c r="F181" s="169"/>
      <c r="G181" s="169"/>
      <c r="H181" s="169"/>
      <c r="I181" s="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row>
    <row r="182" spans="5:42" x14ac:dyDescent="0.2">
      <c r="E182" s="169"/>
      <c r="F182" s="169"/>
      <c r="G182" s="169"/>
      <c r="H182" s="169"/>
      <c r="I182" s="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row>
    <row r="183" spans="5:42" x14ac:dyDescent="0.2">
      <c r="E183" s="169"/>
      <c r="F183" s="169"/>
      <c r="G183" s="169"/>
      <c r="H183" s="169"/>
      <c r="I183" s="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row>
    <row r="184" spans="5:42" x14ac:dyDescent="0.2">
      <c r="E184" s="169"/>
      <c r="F184" s="169"/>
      <c r="G184" s="169"/>
      <c r="H184" s="169"/>
      <c r="I184" s="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row>
    <row r="185" spans="5:42" x14ac:dyDescent="0.2">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row>
    <row r="186" spans="5:42" x14ac:dyDescent="0.2">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row>
    <row r="187" spans="5:42" x14ac:dyDescent="0.2">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row>
    <row r="188" spans="5:42" x14ac:dyDescent="0.2">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row>
    <row r="189" spans="5:42" x14ac:dyDescent="0.2">
      <c r="E189" s="169"/>
      <c r="F189" s="169"/>
      <c r="G189" s="169"/>
      <c r="H189" s="169"/>
      <c r="I189" s="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row>
    <row r="190" spans="5:42" x14ac:dyDescent="0.2">
      <c r="E190" s="169"/>
      <c r="F190" s="169"/>
      <c r="G190" s="169"/>
      <c r="H190" s="169"/>
      <c r="I190" s="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row>
    <row r="191" spans="5:42" x14ac:dyDescent="0.2">
      <c r="E191" s="169"/>
      <c r="F191" s="169"/>
      <c r="G191" s="169"/>
      <c r="H191" s="169"/>
      <c r="I191" s="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row>
    <row r="192" spans="5:42" x14ac:dyDescent="0.2">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row>
    <row r="193" spans="5:42" x14ac:dyDescent="0.2">
      <c r="E193" s="169"/>
      <c r="F193" s="169"/>
      <c r="G193" s="169"/>
      <c r="H193" s="169"/>
      <c r="I193" s="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row>
    <row r="194" spans="5:42" x14ac:dyDescent="0.2">
      <c r="E194" s="169"/>
      <c r="F194" s="169"/>
      <c r="G194" s="169"/>
      <c r="H194" s="169"/>
      <c r="I194" s="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row>
    <row r="195" spans="5:42" x14ac:dyDescent="0.2">
      <c r="E195" s="169"/>
      <c r="F195" s="169"/>
      <c r="G195" s="169"/>
      <c r="H195" s="169"/>
      <c r="I195" s="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row>
    <row r="196" spans="5:42" x14ac:dyDescent="0.2">
      <c r="E196" s="169"/>
      <c r="F196" s="169"/>
      <c r="G196" s="169"/>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row>
    <row r="197" spans="5:42" x14ac:dyDescent="0.2">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row>
    <row r="198" spans="5:42" x14ac:dyDescent="0.2">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row>
    <row r="199" spans="5:42" x14ac:dyDescent="0.2">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row>
    <row r="200" spans="5:42" x14ac:dyDescent="0.2">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row>
    <row r="201" spans="5:42" x14ac:dyDescent="0.2">
      <c r="E201" s="169"/>
      <c r="F201" s="169"/>
      <c r="G201" s="169"/>
      <c r="H201" s="169"/>
      <c r="I201" s="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row>
    <row r="202" spans="5:42" x14ac:dyDescent="0.2">
      <c r="E202" s="169"/>
      <c r="F202" s="169"/>
      <c r="G202" s="169"/>
      <c r="H202" s="169"/>
      <c r="I202" s="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row>
    <row r="203" spans="5:42" x14ac:dyDescent="0.2">
      <c r="E203" s="169"/>
      <c r="F203" s="169"/>
      <c r="G203" s="169"/>
      <c r="H203" s="169"/>
      <c r="I203" s="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row>
    <row r="204" spans="5:42" x14ac:dyDescent="0.2">
      <c r="E204" s="169"/>
      <c r="F204" s="169"/>
      <c r="G204" s="169"/>
      <c r="H204" s="169"/>
      <c r="I204" s="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row>
    <row r="205" spans="5:42" x14ac:dyDescent="0.2">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row>
    <row r="206" spans="5:42" x14ac:dyDescent="0.2">
      <c r="E206" s="169"/>
      <c r="F206" s="169"/>
      <c r="G206" s="169"/>
      <c r="H206" s="169"/>
      <c r="I206" s="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row>
    <row r="207" spans="5:42" x14ac:dyDescent="0.2">
      <c r="E207" s="169"/>
      <c r="F207" s="169"/>
      <c r="G207" s="169"/>
      <c r="H207" s="169"/>
      <c r="I207" s="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row>
    <row r="208" spans="5:42" x14ac:dyDescent="0.2">
      <c r="E208" s="169"/>
      <c r="F208" s="169"/>
      <c r="G208" s="169"/>
      <c r="H208" s="169"/>
      <c r="I208" s="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row>
    <row r="209" spans="5:42" x14ac:dyDescent="0.2">
      <c r="E209" s="169"/>
      <c r="F209" s="169"/>
      <c r="G209" s="169"/>
      <c r="H209" s="169"/>
      <c r="I209" s="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row>
    <row r="210" spans="5:42" x14ac:dyDescent="0.2">
      <c r="E210" s="169"/>
      <c r="F210" s="169"/>
      <c r="G210" s="169"/>
      <c r="H210" s="169"/>
      <c r="I210" s="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row>
    <row r="211" spans="5:42" x14ac:dyDescent="0.2">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row>
    <row r="212" spans="5:42" x14ac:dyDescent="0.2">
      <c r="E212" s="169"/>
      <c r="F212" s="169"/>
      <c r="G212" s="169"/>
      <c r="H212" s="169"/>
      <c r="I212" s="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row>
    <row r="213" spans="5:42" x14ac:dyDescent="0.2">
      <c r="E213" s="169"/>
      <c r="F213" s="169"/>
      <c r="G213" s="169"/>
      <c r="H213" s="169"/>
      <c r="I213" s="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row>
    <row r="214" spans="5:42" x14ac:dyDescent="0.2">
      <c r="E214" s="169"/>
      <c r="F214" s="169"/>
      <c r="G214" s="169"/>
      <c r="H214" s="169"/>
      <c r="I214" s="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row>
    <row r="215" spans="5:42" x14ac:dyDescent="0.2">
      <c r="E215" s="169"/>
      <c r="F215" s="169"/>
      <c r="G215" s="169"/>
      <c r="H215" s="169"/>
      <c r="I215" s="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row>
    <row r="216" spans="5:42" x14ac:dyDescent="0.2">
      <c r="E216" s="169"/>
      <c r="F216" s="16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row>
    <row r="217" spans="5:42" x14ac:dyDescent="0.2">
      <c r="E217" s="169"/>
      <c r="F217" s="169"/>
      <c r="G217" s="169"/>
      <c r="H217" s="169"/>
      <c r="I217" s="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row>
    <row r="218" spans="5:42" x14ac:dyDescent="0.2">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row>
    <row r="219" spans="5:42" x14ac:dyDescent="0.2">
      <c r="E219" s="169"/>
      <c r="F219" s="169"/>
      <c r="G219" s="169"/>
      <c r="H219" s="169"/>
      <c r="I219" s="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row>
    <row r="220" spans="5:42" x14ac:dyDescent="0.2">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row>
    <row r="221" spans="5:42" x14ac:dyDescent="0.2">
      <c r="E221" s="169"/>
      <c r="F221" s="169"/>
      <c r="G221" s="169"/>
      <c r="H221" s="169"/>
      <c r="I221" s="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row>
    <row r="222" spans="5:42" x14ac:dyDescent="0.2">
      <c r="E222" s="169"/>
      <c r="F222" s="169"/>
      <c r="G222" s="169"/>
      <c r="H222" s="169"/>
      <c r="I222" s="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row>
    <row r="223" spans="5:42" x14ac:dyDescent="0.2">
      <c r="E223" s="169"/>
      <c r="F223" s="169"/>
      <c r="G223" s="169"/>
      <c r="H223" s="169"/>
      <c r="I223" s="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row>
    <row r="224" spans="5:42" x14ac:dyDescent="0.2">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row>
    <row r="225" spans="5:42" x14ac:dyDescent="0.2">
      <c r="E225" s="169"/>
      <c r="F225" s="169"/>
      <c r="G225" s="169"/>
      <c r="H225" s="169"/>
      <c r="I225" s="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row>
    <row r="226" spans="5:42" x14ac:dyDescent="0.2">
      <c r="E226" s="169"/>
      <c r="F226" s="169"/>
      <c r="G226" s="169"/>
      <c r="H226" s="169"/>
      <c r="I226" s="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row>
    <row r="227" spans="5:42" x14ac:dyDescent="0.2">
      <c r="E227" s="169"/>
      <c r="F227" s="169"/>
      <c r="G227" s="169"/>
      <c r="H227" s="169"/>
      <c r="I227" s="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row>
    <row r="228" spans="5:42" x14ac:dyDescent="0.2">
      <c r="E228" s="169"/>
      <c r="F228" s="169"/>
      <c r="G228" s="169"/>
      <c r="H228" s="169"/>
      <c r="I228" s="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row>
    <row r="229" spans="5:42" x14ac:dyDescent="0.2">
      <c r="E229" s="169"/>
      <c r="F229" s="169"/>
      <c r="G229" s="169"/>
      <c r="H229" s="169"/>
      <c r="I229" s="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row>
    <row r="230" spans="5:42" x14ac:dyDescent="0.2">
      <c r="E230" s="169"/>
      <c r="F230" s="169"/>
      <c r="G230" s="169"/>
      <c r="H230" s="169"/>
      <c r="I230" s="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row>
    <row r="231" spans="5:42" x14ac:dyDescent="0.2">
      <c r="E231" s="169"/>
      <c r="F231" s="169"/>
      <c r="G231" s="169"/>
      <c r="H231" s="169"/>
      <c r="I231" s="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row>
    <row r="232" spans="5:42" x14ac:dyDescent="0.2">
      <c r="E232" s="169"/>
      <c r="F232" s="169"/>
      <c r="G232" s="169"/>
      <c r="H232" s="169"/>
      <c r="I232" s="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row>
    <row r="233" spans="5:42" x14ac:dyDescent="0.2">
      <c r="E233" s="169"/>
      <c r="F233" s="169"/>
      <c r="G233" s="169"/>
      <c r="H233" s="169"/>
      <c r="I233" s="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row>
    <row r="234" spans="5:42" x14ac:dyDescent="0.2">
      <c r="E234" s="169"/>
      <c r="F234" s="169"/>
      <c r="G234" s="169"/>
      <c r="H234" s="169"/>
      <c r="I234" s="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row>
    <row r="235" spans="5:42" x14ac:dyDescent="0.2">
      <c r="E235" s="169"/>
      <c r="F235" s="169"/>
      <c r="G235" s="169"/>
      <c r="H235" s="169"/>
      <c r="I235" s="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row>
    <row r="236" spans="5:42" x14ac:dyDescent="0.2">
      <c r="E236" s="169"/>
      <c r="F236" s="169"/>
      <c r="G236" s="169"/>
      <c r="H236" s="169"/>
      <c r="I236" s="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row>
    <row r="237" spans="5:42" x14ac:dyDescent="0.2">
      <c r="E237" s="169"/>
      <c r="F237" s="169"/>
      <c r="G237" s="169"/>
      <c r="H237" s="169"/>
      <c r="I237" s="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row>
    <row r="238" spans="5:42" x14ac:dyDescent="0.2">
      <c r="E238" s="169"/>
      <c r="F238" s="169"/>
      <c r="G238" s="169"/>
      <c r="H238" s="169"/>
      <c r="I238" s="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row>
    <row r="239" spans="5:42" x14ac:dyDescent="0.2">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row>
    <row r="240" spans="5:42" x14ac:dyDescent="0.2">
      <c r="E240" s="169"/>
      <c r="F240" s="169"/>
      <c r="G240" s="169"/>
      <c r="H240" s="169"/>
      <c r="I240" s="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row>
    <row r="241" spans="5:42" x14ac:dyDescent="0.2">
      <c r="E241" s="169"/>
      <c r="F241" s="169"/>
      <c r="G241" s="169"/>
      <c r="H241" s="169"/>
      <c r="I241" s="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row>
    <row r="242" spans="5:42" x14ac:dyDescent="0.2">
      <c r="E242" s="169"/>
      <c r="F242" s="169"/>
      <c r="G242" s="169"/>
      <c r="H242" s="169"/>
      <c r="I242" s="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row>
    <row r="243" spans="5:42" x14ac:dyDescent="0.2">
      <c r="E243" s="169"/>
      <c r="F243" s="169"/>
      <c r="G243" s="169"/>
      <c r="H243" s="169"/>
      <c r="I243" s="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row>
    <row r="244" spans="5:42" x14ac:dyDescent="0.2">
      <c r="E244" s="169"/>
      <c r="F244" s="169"/>
      <c r="G244" s="169"/>
      <c r="H244" s="169"/>
      <c r="I244" s="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row>
    <row r="245" spans="5:42" x14ac:dyDescent="0.2">
      <c r="E245" s="169"/>
      <c r="F245" s="169"/>
      <c r="G245" s="169"/>
      <c r="H245" s="169"/>
      <c r="I245" s="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row>
    <row r="246" spans="5:42" x14ac:dyDescent="0.2">
      <c r="E246" s="169"/>
      <c r="F246" s="169"/>
      <c r="G246" s="169"/>
      <c r="H246" s="169"/>
      <c r="I246" s="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row>
    <row r="247" spans="5:42" x14ac:dyDescent="0.2">
      <c r="E247" s="169"/>
      <c r="F247" s="169"/>
      <c r="G247" s="169"/>
      <c r="H247" s="169"/>
      <c r="I247" s="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row>
    <row r="248" spans="5:42" x14ac:dyDescent="0.2">
      <c r="E248" s="169"/>
      <c r="F248" s="169"/>
      <c r="G248" s="169"/>
      <c r="H248" s="169"/>
      <c r="I248" s="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row>
    <row r="249" spans="5:42" x14ac:dyDescent="0.2">
      <c r="E249" s="169"/>
      <c r="F249" s="169"/>
      <c r="G249" s="169"/>
      <c r="H249" s="169"/>
      <c r="I249" s="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row>
    <row r="250" spans="5:42" x14ac:dyDescent="0.2">
      <c r="E250" s="169"/>
      <c r="F250" s="169"/>
      <c r="G250" s="169"/>
      <c r="H250" s="169"/>
      <c r="I250" s="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row>
    <row r="251" spans="5:42" x14ac:dyDescent="0.2">
      <c r="E251" s="169"/>
      <c r="F251" s="169"/>
      <c r="G251" s="169"/>
      <c r="H251" s="169"/>
      <c r="I251" s="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row>
    <row r="252" spans="5:42" x14ac:dyDescent="0.2">
      <c r="E252" s="169"/>
      <c r="F252" s="169"/>
      <c r="G252" s="169"/>
      <c r="H252" s="169"/>
      <c r="I252" s="16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row>
    <row r="253" spans="5:42" x14ac:dyDescent="0.2">
      <c r="E253" s="169"/>
      <c r="F253" s="169"/>
      <c r="G253" s="169"/>
      <c r="H253" s="169"/>
      <c r="I253" s="169"/>
      <c r="J253" s="169"/>
      <c r="K253" s="169"/>
      <c r="L253" s="169"/>
      <c r="M253" s="169"/>
      <c r="N253" s="169"/>
      <c r="O253" s="169"/>
      <c r="P253" s="169"/>
      <c r="Q253" s="169"/>
      <c r="R253" s="169"/>
      <c r="S253" s="169"/>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row>
    <row r="254" spans="5:42" x14ac:dyDescent="0.2">
      <c r="E254" s="169"/>
      <c r="F254" s="169"/>
      <c r="G254" s="169"/>
      <c r="H254" s="169"/>
      <c r="I254" s="169"/>
      <c r="J254" s="169"/>
      <c r="K254" s="169"/>
      <c r="L254" s="169"/>
      <c r="M254" s="169"/>
      <c r="N254" s="169"/>
      <c r="O254" s="169"/>
      <c r="P254" s="169"/>
      <c r="Q254" s="169"/>
      <c r="R254" s="169"/>
      <c r="S254" s="169"/>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row>
    <row r="255" spans="5:42" x14ac:dyDescent="0.2">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row>
    <row r="256" spans="5:42" x14ac:dyDescent="0.2">
      <c r="E256" s="169"/>
      <c r="F256" s="169"/>
      <c r="G256" s="169"/>
      <c r="H256" s="169"/>
      <c r="I256" s="169"/>
      <c r="J256" s="169"/>
      <c r="K256" s="169"/>
      <c r="L256" s="169"/>
      <c r="M256" s="169"/>
      <c r="N256" s="169"/>
      <c r="O256" s="169"/>
      <c r="P256" s="169"/>
      <c r="Q256" s="169"/>
      <c r="R256" s="169"/>
      <c r="S256" s="169"/>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row>
    <row r="257" spans="5:42" x14ac:dyDescent="0.2">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row>
    <row r="258" spans="5:42" x14ac:dyDescent="0.2">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c r="AA258" s="169"/>
      <c r="AB258" s="169"/>
      <c r="AC258" s="169"/>
      <c r="AD258" s="169"/>
      <c r="AE258" s="169"/>
      <c r="AF258" s="169"/>
      <c r="AG258" s="169"/>
      <c r="AH258" s="169"/>
      <c r="AI258" s="169"/>
      <c r="AJ258" s="169"/>
      <c r="AK258" s="169"/>
      <c r="AL258" s="169"/>
      <c r="AM258" s="169"/>
      <c r="AN258" s="169"/>
      <c r="AO258" s="169"/>
      <c r="AP258" s="169"/>
    </row>
    <row r="259" spans="5:42" x14ac:dyDescent="0.2">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c r="AA259" s="169"/>
      <c r="AB259" s="169"/>
      <c r="AC259" s="169"/>
      <c r="AD259" s="169"/>
      <c r="AE259" s="169"/>
      <c r="AF259" s="169"/>
      <c r="AG259" s="169"/>
      <c r="AH259" s="169"/>
      <c r="AI259" s="169"/>
      <c r="AJ259" s="169"/>
      <c r="AK259" s="169"/>
      <c r="AL259" s="169"/>
      <c r="AM259" s="169"/>
      <c r="AN259" s="169"/>
      <c r="AO259" s="169"/>
      <c r="AP259" s="169"/>
    </row>
    <row r="260" spans="5:42" x14ac:dyDescent="0.2">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c r="AA260" s="169"/>
      <c r="AB260" s="169"/>
      <c r="AC260" s="169"/>
      <c r="AD260" s="169"/>
      <c r="AE260" s="169"/>
      <c r="AF260" s="169"/>
      <c r="AG260" s="169"/>
      <c r="AH260" s="169"/>
      <c r="AI260" s="169"/>
      <c r="AJ260" s="169"/>
      <c r="AK260" s="169"/>
      <c r="AL260" s="169"/>
      <c r="AM260" s="169"/>
      <c r="AN260" s="169"/>
      <c r="AO260" s="169"/>
      <c r="AP260" s="169"/>
    </row>
    <row r="261" spans="5:42" x14ac:dyDescent="0.2">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c r="AA261" s="169"/>
      <c r="AB261" s="169"/>
      <c r="AC261" s="169"/>
      <c r="AD261" s="169"/>
      <c r="AE261" s="169"/>
      <c r="AF261" s="169"/>
      <c r="AG261" s="169"/>
      <c r="AH261" s="169"/>
      <c r="AI261" s="169"/>
      <c r="AJ261" s="169"/>
      <c r="AK261" s="169"/>
      <c r="AL261" s="169"/>
      <c r="AM261" s="169"/>
      <c r="AN261" s="169"/>
      <c r="AO261" s="169"/>
      <c r="AP261" s="169"/>
    </row>
    <row r="262" spans="5:42" x14ac:dyDescent="0.2">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row>
    <row r="263" spans="5:42" x14ac:dyDescent="0.2">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c r="AA263" s="169"/>
      <c r="AB263" s="169"/>
      <c r="AC263" s="169"/>
      <c r="AD263" s="169"/>
      <c r="AE263" s="169"/>
      <c r="AF263" s="169"/>
      <c r="AG263" s="169"/>
      <c r="AH263" s="169"/>
      <c r="AI263" s="169"/>
      <c r="AJ263" s="169"/>
      <c r="AK263" s="169"/>
      <c r="AL263" s="169"/>
      <c r="AM263" s="169"/>
      <c r="AN263" s="169"/>
      <c r="AO263" s="169"/>
      <c r="AP263" s="169"/>
    </row>
    <row r="264" spans="5:42" x14ac:dyDescent="0.2">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c r="AA264" s="169"/>
      <c r="AB264" s="169"/>
      <c r="AC264" s="169"/>
      <c r="AD264" s="169"/>
      <c r="AE264" s="169"/>
      <c r="AF264" s="169"/>
      <c r="AG264" s="169"/>
      <c r="AH264" s="169"/>
      <c r="AI264" s="169"/>
      <c r="AJ264" s="169"/>
      <c r="AK264" s="169"/>
      <c r="AL264" s="169"/>
      <c r="AM264" s="169"/>
      <c r="AN264" s="169"/>
      <c r="AO264" s="169"/>
      <c r="AP264" s="169"/>
    </row>
    <row r="265" spans="5:42" x14ac:dyDescent="0.2">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c r="AA265" s="169"/>
      <c r="AB265" s="169"/>
      <c r="AC265" s="169"/>
      <c r="AD265" s="169"/>
      <c r="AE265" s="169"/>
      <c r="AF265" s="169"/>
      <c r="AG265" s="169"/>
      <c r="AH265" s="169"/>
      <c r="AI265" s="169"/>
      <c r="AJ265" s="169"/>
      <c r="AK265" s="169"/>
      <c r="AL265" s="169"/>
      <c r="AM265" s="169"/>
      <c r="AN265" s="169"/>
      <c r="AO265" s="169"/>
      <c r="AP265" s="169"/>
    </row>
    <row r="266" spans="5:42" x14ac:dyDescent="0.2">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row>
    <row r="267" spans="5:42" x14ac:dyDescent="0.2">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c r="AA267" s="169"/>
      <c r="AB267" s="169"/>
      <c r="AC267" s="169"/>
      <c r="AD267" s="169"/>
      <c r="AE267" s="169"/>
      <c r="AF267" s="169"/>
      <c r="AG267" s="169"/>
      <c r="AH267" s="169"/>
      <c r="AI267" s="169"/>
      <c r="AJ267" s="169"/>
      <c r="AK267" s="169"/>
      <c r="AL267" s="169"/>
      <c r="AM267" s="169"/>
      <c r="AN267" s="169"/>
      <c r="AO267" s="169"/>
      <c r="AP267" s="169"/>
    </row>
    <row r="268" spans="5:42" x14ac:dyDescent="0.2">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c r="AC268" s="169"/>
      <c r="AD268" s="169"/>
      <c r="AE268" s="169"/>
      <c r="AF268" s="169"/>
      <c r="AG268" s="169"/>
      <c r="AH268" s="169"/>
      <c r="AI268" s="169"/>
      <c r="AJ268" s="169"/>
      <c r="AK268" s="169"/>
      <c r="AL268" s="169"/>
      <c r="AM268" s="169"/>
      <c r="AN268" s="169"/>
      <c r="AO268" s="169"/>
      <c r="AP268" s="169"/>
    </row>
    <row r="269" spans="5:42" x14ac:dyDescent="0.2">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row>
    <row r="270" spans="5:42" x14ac:dyDescent="0.2">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c r="AA270" s="169"/>
      <c r="AB270" s="169"/>
      <c r="AC270" s="169"/>
      <c r="AD270" s="169"/>
      <c r="AE270" s="169"/>
      <c r="AF270" s="169"/>
      <c r="AG270" s="169"/>
      <c r="AH270" s="169"/>
      <c r="AI270" s="169"/>
      <c r="AJ270" s="169"/>
      <c r="AK270" s="169"/>
      <c r="AL270" s="169"/>
      <c r="AM270" s="169"/>
      <c r="AN270" s="169"/>
      <c r="AO270" s="169"/>
      <c r="AP270" s="169"/>
    </row>
    <row r="271" spans="5:42" x14ac:dyDescent="0.2">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c r="AA271" s="169"/>
      <c r="AB271" s="169"/>
      <c r="AC271" s="169"/>
      <c r="AD271" s="169"/>
      <c r="AE271" s="169"/>
      <c r="AF271" s="169"/>
      <c r="AG271" s="169"/>
      <c r="AH271" s="169"/>
      <c r="AI271" s="169"/>
      <c r="AJ271" s="169"/>
      <c r="AK271" s="169"/>
      <c r="AL271" s="169"/>
      <c r="AM271" s="169"/>
      <c r="AN271" s="169"/>
      <c r="AO271" s="169"/>
      <c r="AP271" s="169"/>
    </row>
    <row r="272" spans="5:42" x14ac:dyDescent="0.2">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row>
    <row r="273" spans="5:42" x14ac:dyDescent="0.2">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c r="AA273" s="169"/>
      <c r="AB273" s="169"/>
      <c r="AC273" s="169"/>
      <c r="AD273" s="169"/>
      <c r="AE273" s="169"/>
      <c r="AF273" s="169"/>
      <c r="AG273" s="169"/>
      <c r="AH273" s="169"/>
      <c r="AI273" s="169"/>
      <c r="AJ273" s="169"/>
      <c r="AK273" s="169"/>
      <c r="AL273" s="169"/>
      <c r="AM273" s="169"/>
      <c r="AN273" s="169"/>
      <c r="AO273" s="169"/>
      <c r="AP273" s="169"/>
    </row>
    <row r="274" spans="5:42" x14ac:dyDescent="0.2">
      <c r="E274" s="169"/>
      <c r="F274" s="169"/>
      <c r="G274" s="169"/>
      <c r="H274" s="169"/>
      <c r="I274" s="169"/>
      <c r="J274" s="169"/>
      <c r="K274" s="169"/>
      <c r="L274" s="169"/>
      <c r="M274" s="169"/>
      <c r="N274" s="169"/>
      <c r="O274" s="169"/>
      <c r="P274" s="169"/>
      <c r="Q274" s="169"/>
      <c r="R274" s="169"/>
      <c r="S274" s="169"/>
      <c r="T274" s="169"/>
      <c r="U274" s="169"/>
      <c r="V274" s="169"/>
      <c r="W274" s="169"/>
      <c r="X274" s="169"/>
      <c r="Y274" s="169"/>
      <c r="Z274" s="169"/>
      <c r="AA274" s="169"/>
      <c r="AB274" s="169"/>
      <c r="AC274" s="169"/>
      <c r="AD274" s="169"/>
      <c r="AE274" s="169"/>
      <c r="AF274" s="169"/>
      <c r="AG274" s="169"/>
      <c r="AH274" s="169"/>
      <c r="AI274" s="169"/>
      <c r="AJ274" s="169"/>
      <c r="AK274" s="169"/>
      <c r="AL274" s="169"/>
      <c r="AM274" s="169"/>
      <c r="AN274" s="169"/>
      <c r="AO274" s="169"/>
      <c r="AP274" s="169"/>
    </row>
    <row r="275" spans="5:42" x14ac:dyDescent="0.2">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row>
    <row r="276" spans="5:42" x14ac:dyDescent="0.2">
      <c r="E276" s="169"/>
      <c r="F276" s="169"/>
      <c r="G276" s="169"/>
      <c r="H276" s="169"/>
      <c r="I276" s="169"/>
      <c r="J276" s="169"/>
      <c r="K276" s="169"/>
      <c r="L276" s="169"/>
      <c r="M276" s="169"/>
      <c r="N276" s="169"/>
      <c r="O276" s="169"/>
      <c r="P276" s="169"/>
      <c r="Q276" s="169"/>
      <c r="R276" s="169"/>
      <c r="S276" s="169"/>
      <c r="T276" s="169"/>
      <c r="U276" s="169"/>
      <c r="V276" s="169"/>
      <c r="W276" s="169"/>
      <c r="X276" s="169"/>
      <c r="Y276" s="169"/>
      <c r="Z276" s="169"/>
      <c r="AA276" s="169"/>
      <c r="AB276" s="169"/>
      <c r="AC276" s="169"/>
      <c r="AD276" s="169"/>
      <c r="AE276" s="169"/>
      <c r="AF276" s="169"/>
      <c r="AG276" s="169"/>
      <c r="AH276" s="169"/>
      <c r="AI276" s="169"/>
      <c r="AJ276" s="169"/>
      <c r="AK276" s="169"/>
      <c r="AL276" s="169"/>
      <c r="AM276" s="169"/>
      <c r="AN276" s="169"/>
      <c r="AO276" s="169"/>
      <c r="AP276" s="169"/>
    </row>
    <row r="277" spans="5:42" x14ac:dyDescent="0.2">
      <c r="E277" s="169"/>
      <c r="F277" s="169"/>
      <c r="G277" s="169"/>
      <c r="H277" s="169"/>
      <c r="I277" s="169"/>
      <c r="J277" s="169"/>
      <c r="K277" s="169"/>
      <c r="L277" s="169"/>
      <c r="M277" s="169"/>
      <c r="N277" s="169"/>
      <c r="O277" s="169"/>
      <c r="P277" s="169"/>
      <c r="Q277" s="169"/>
      <c r="R277" s="169"/>
      <c r="S277" s="169"/>
      <c r="T277" s="169"/>
      <c r="U277" s="169"/>
      <c r="V277" s="169"/>
      <c r="W277" s="169"/>
      <c r="X277" s="169"/>
      <c r="Y277" s="169"/>
      <c r="Z277" s="169"/>
      <c r="AA277" s="169"/>
      <c r="AB277" s="169"/>
      <c r="AC277" s="169"/>
      <c r="AD277" s="169"/>
      <c r="AE277" s="169"/>
      <c r="AF277" s="169"/>
      <c r="AG277" s="169"/>
      <c r="AH277" s="169"/>
      <c r="AI277" s="169"/>
      <c r="AJ277" s="169"/>
      <c r="AK277" s="169"/>
      <c r="AL277" s="169"/>
      <c r="AM277" s="169"/>
      <c r="AN277" s="169"/>
      <c r="AO277" s="169"/>
      <c r="AP277" s="169"/>
    </row>
    <row r="278" spans="5:42" x14ac:dyDescent="0.2">
      <c r="E278" s="169"/>
      <c r="F278" s="169"/>
      <c r="G278" s="169"/>
      <c r="H278" s="169"/>
      <c r="I278" s="169"/>
      <c r="J278" s="169"/>
      <c r="K278" s="169"/>
      <c r="L278" s="169"/>
      <c r="M278" s="169"/>
      <c r="N278" s="169"/>
      <c r="O278" s="169"/>
      <c r="P278" s="169"/>
      <c r="Q278" s="169"/>
      <c r="R278" s="169"/>
      <c r="S278" s="169"/>
      <c r="T278" s="169"/>
      <c r="U278" s="169"/>
      <c r="V278" s="169"/>
      <c r="W278" s="169"/>
      <c r="X278" s="169"/>
      <c r="Y278" s="169"/>
      <c r="Z278" s="169"/>
      <c r="AA278" s="169"/>
      <c r="AB278" s="169"/>
      <c r="AC278" s="169"/>
      <c r="AD278" s="169"/>
      <c r="AE278" s="169"/>
      <c r="AF278" s="169"/>
      <c r="AG278" s="169"/>
      <c r="AH278" s="169"/>
      <c r="AI278" s="169"/>
      <c r="AJ278" s="169"/>
      <c r="AK278" s="169"/>
      <c r="AL278" s="169"/>
      <c r="AM278" s="169"/>
      <c r="AN278" s="169"/>
      <c r="AO278" s="169"/>
      <c r="AP278" s="169"/>
    </row>
    <row r="279" spans="5:42" x14ac:dyDescent="0.2">
      <c r="E279" s="169"/>
      <c r="F279" s="169"/>
      <c r="G279" s="169"/>
      <c r="H279" s="169"/>
      <c r="I279" s="169"/>
      <c r="J279" s="169"/>
      <c r="K279" s="169"/>
      <c r="L279" s="169"/>
      <c r="M279" s="169"/>
      <c r="N279" s="169"/>
      <c r="O279" s="169"/>
      <c r="P279" s="169"/>
      <c r="Q279" s="169"/>
      <c r="R279" s="169"/>
      <c r="S279" s="169"/>
      <c r="T279" s="169"/>
      <c r="U279" s="169"/>
      <c r="V279" s="169"/>
      <c r="W279" s="169"/>
      <c r="X279" s="169"/>
      <c r="Y279" s="169"/>
      <c r="Z279" s="169"/>
      <c r="AA279" s="169"/>
      <c r="AB279" s="169"/>
      <c r="AC279" s="169"/>
      <c r="AD279" s="169"/>
      <c r="AE279" s="169"/>
      <c r="AF279" s="169"/>
      <c r="AG279" s="169"/>
      <c r="AH279" s="169"/>
      <c r="AI279" s="169"/>
      <c r="AJ279" s="169"/>
      <c r="AK279" s="169"/>
      <c r="AL279" s="169"/>
      <c r="AM279" s="169"/>
      <c r="AN279" s="169"/>
      <c r="AO279" s="169"/>
      <c r="AP279" s="169"/>
    </row>
    <row r="280" spans="5:42" x14ac:dyDescent="0.2">
      <c r="E280" s="169"/>
      <c r="F280" s="169"/>
      <c r="G280" s="169"/>
      <c r="H280" s="169"/>
      <c r="I280" s="169"/>
      <c r="J280" s="169"/>
      <c r="K280" s="169"/>
      <c r="L280" s="169"/>
      <c r="M280" s="169"/>
      <c r="N280" s="169"/>
      <c r="O280" s="169"/>
      <c r="P280" s="169"/>
      <c r="Q280" s="169"/>
      <c r="R280" s="169"/>
      <c r="S280" s="169"/>
      <c r="T280" s="169"/>
      <c r="U280" s="169"/>
      <c r="V280" s="169"/>
      <c r="W280" s="169"/>
      <c r="X280" s="169"/>
      <c r="Y280" s="169"/>
      <c r="Z280" s="169"/>
      <c r="AA280" s="169"/>
      <c r="AB280" s="169"/>
      <c r="AC280" s="169"/>
      <c r="AD280" s="169"/>
      <c r="AE280" s="169"/>
      <c r="AF280" s="169"/>
      <c r="AG280" s="169"/>
      <c r="AH280" s="169"/>
      <c r="AI280" s="169"/>
      <c r="AJ280" s="169"/>
      <c r="AK280" s="169"/>
      <c r="AL280" s="169"/>
      <c r="AM280" s="169"/>
      <c r="AN280" s="169"/>
      <c r="AO280" s="169"/>
      <c r="AP280" s="169"/>
    </row>
    <row r="281" spans="5:42" x14ac:dyDescent="0.2">
      <c r="E281" s="169"/>
      <c r="F281" s="169"/>
      <c r="G281" s="169"/>
      <c r="H281" s="169"/>
      <c r="I281" s="169"/>
      <c r="J281" s="169"/>
      <c r="K281" s="169"/>
      <c r="L281" s="169"/>
      <c r="M281" s="169"/>
      <c r="N281" s="169"/>
      <c r="O281" s="169"/>
      <c r="P281" s="169"/>
      <c r="Q281" s="169"/>
      <c r="R281" s="169"/>
      <c r="S281" s="169"/>
      <c r="T281" s="169"/>
      <c r="U281" s="169"/>
      <c r="V281" s="169"/>
      <c r="W281" s="169"/>
      <c r="X281" s="169"/>
      <c r="Y281" s="169"/>
      <c r="Z281" s="169"/>
      <c r="AA281" s="169"/>
      <c r="AB281" s="169"/>
      <c r="AC281" s="169"/>
      <c r="AD281" s="169"/>
      <c r="AE281" s="169"/>
      <c r="AF281" s="169"/>
      <c r="AG281" s="169"/>
      <c r="AH281" s="169"/>
      <c r="AI281" s="169"/>
      <c r="AJ281" s="169"/>
      <c r="AK281" s="169"/>
      <c r="AL281" s="169"/>
      <c r="AM281" s="169"/>
      <c r="AN281" s="169"/>
      <c r="AO281" s="169"/>
      <c r="AP281" s="169"/>
    </row>
    <row r="282" spans="5:42" x14ac:dyDescent="0.2">
      <c r="E282" s="169"/>
      <c r="F282" s="169"/>
      <c r="G282" s="169"/>
      <c r="H282" s="169"/>
      <c r="I282" s="169"/>
      <c r="J282" s="169"/>
      <c r="K282" s="169"/>
      <c r="L282" s="169"/>
      <c r="M282" s="169"/>
      <c r="N282" s="169"/>
      <c r="O282" s="169"/>
      <c r="P282" s="169"/>
      <c r="Q282" s="169"/>
      <c r="R282" s="169"/>
      <c r="S282" s="169"/>
      <c r="T282" s="169"/>
      <c r="U282" s="169"/>
      <c r="V282" s="169"/>
      <c r="W282" s="169"/>
      <c r="X282" s="169"/>
      <c r="Y282" s="169"/>
      <c r="Z282" s="169"/>
      <c r="AA282" s="169"/>
      <c r="AB282" s="169"/>
      <c r="AC282" s="169"/>
      <c r="AD282" s="169"/>
      <c r="AE282" s="169"/>
      <c r="AF282" s="169"/>
      <c r="AG282" s="169"/>
      <c r="AH282" s="169"/>
      <c r="AI282" s="169"/>
      <c r="AJ282" s="169"/>
      <c r="AK282" s="169"/>
      <c r="AL282" s="169"/>
      <c r="AM282" s="169"/>
      <c r="AN282" s="169"/>
      <c r="AO282" s="169"/>
      <c r="AP282" s="169"/>
    </row>
    <row r="283" spans="5:42" x14ac:dyDescent="0.2">
      <c r="E283" s="169"/>
      <c r="F283" s="169"/>
      <c r="G283" s="169"/>
      <c r="H283" s="169"/>
      <c r="I283" s="169"/>
      <c r="J283" s="169"/>
      <c r="K283" s="169"/>
      <c r="L283" s="169"/>
      <c r="M283" s="169"/>
      <c r="N283" s="169"/>
      <c r="O283" s="169"/>
      <c r="P283" s="169"/>
      <c r="Q283" s="169"/>
      <c r="R283" s="169"/>
      <c r="S283" s="169"/>
      <c r="T283" s="169"/>
      <c r="U283" s="169"/>
      <c r="V283" s="169"/>
      <c r="W283" s="169"/>
      <c r="X283" s="169"/>
      <c r="Y283" s="169"/>
      <c r="Z283" s="169"/>
      <c r="AA283" s="169"/>
      <c r="AB283" s="169"/>
      <c r="AC283" s="169"/>
      <c r="AD283" s="169"/>
      <c r="AE283" s="169"/>
      <c r="AF283" s="169"/>
      <c r="AG283" s="169"/>
      <c r="AH283" s="169"/>
      <c r="AI283" s="169"/>
      <c r="AJ283" s="169"/>
      <c r="AK283" s="169"/>
      <c r="AL283" s="169"/>
      <c r="AM283" s="169"/>
      <c r="AN283" s="169"/>
      <c r="AO283" s="169"/>
      <c r="AP283" s="169"/>
    </row>
    <row r="284" spans="5:42" x14ac:dyDescent="0.2">
      <c r="E284" s="169"/>
      <c r="F284" s="169"/>
      <c r="G284" s="169"/>
      <c r="H284" s="169"/>
      <c r="I284" s="169"/>
      <c r="J284" s="169"/>
      <c r="K284" s="169"/>
      <c r="L284" s="169"/>
      <c r="M284" s="169"/>
      <c r="N284" s="169"/>
      <c r="O284" s="169"/>
      <c r="P284" s="169"/>
      <c r="Q284" s="169"/>
      <c r="R284" s="169"/>
      <c r="S284" s="169"/>
      <c r="T284" s="169"/>
      <c r="U284" s="169"/>
      <c r="V284" s="169"/>
      <c r="W284" s="169"/>
      <c r="X284" s="169"/>
      <c r="Y284" s="169"/>
      <c r="Z284" s="169"/>
      <c r="AA284" s="169"/>
      <c r="AB284" s="169"/>
      <c r="AC284" s="169"/>
      <c r="AD284" s="169"/>
      <c r="AE284" s="169"/>
      <c r="AF284" s="169"/>
      <c r="AG284" s="169"/>
      <c r="AH284" s="169"/>
      <c r="AI284" s="169"/>
      <c r="AJ284" s="169"/>
      <c r="AK284" s="169"/>
      <c r="AL284" s="169"/>
      <c r="AM284" s="169"/>
      <c r="AN284" s="169"/>
      <c r="AO284" s="169"/>
      <c r="AP284" s="169"/>
    </row>
    <row r="285" spans="5:42" x14ac:dyDescent="0.2">
      <c r="E285" s="169"/>
      <c r="F285" s="169"/>
      <c r="G285" s="169"/>
      <c r="H285" s="169"/>
      <c r="I285" s="169"/>
      <c r="J285" s="169"/>
      <c r="K285" s="169"/>
      <c r="L285" s="169"/>
      <c r="M285" s="169"/>
      <c r="N285" s="169"/>
      <c r="O285" s="169"/>
      <c r="P285" s="169"/>
      <c r="Q285" s="169"/>
      <c r="R285" s="169"/>
      <c r="S285" s="169"/>
      <c r="T285" s="169"/>
      <c r="U285" s="169"/>
      <c r="V285" s="169"/>
      <c r="W285" s="169"/>
      <c r="X285" s="169"/>
      <c r="Y285" s="169"/>
      <c r="Z285" s="169"/>
      <c r="AA285" s="169"/>
      <c r="AB285" s="169"/>
      <c r="AC285" s="169"/>
      <c r="AD285" s="169"/>
      <c r="AE285" s="169"/>
      <c r="AF285" s="169"/>
      <c r="AG285" s="169"/>
      <c r="AH285" s="169"/>
      <c r="AI285" s="169"/>
      <c r="AJ285" s="169"/>
      <c r="AK285" s="169"/>
      <c r="AL285" s="169"/>
      <c r="AM285" s="169"/>
      <c r="AN285" s="169"/>
      <c r="AO285" s="169"/>
      <c r="AP285" s="169"/>
    </row>
    <row r="286" spans="5:42" x14ac:dyDescent="0.2">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c r="AA286" s="169"/>
      <c r="AB286" s="169"/>
      <c r="AC286" s="169"/>
      <c r="AD286" s="169"/>
      <c r="AE286" s="169"/>
      <c r="AF286" s="169"/>
      <c r="AG286" s="169"/>
      <c r="AH286" s="169"/>
      <c r="AI286" s="169"/>
      <c r="AJ286" s="169"/>
      <c r="AK286" s="169"/>
      <c r="AL286" s="169"/>
      <c r="AM286" s="169"/>
      <c r="AN286" s="169"/>
      <c r="AO286" s="169"/>
      <c r="AP286" s="169"/>
    </row>
    <row r="287" spans="5:42" x14ac:dyDescent="0.2">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c r="AA287" s="169"/>
      <c r="AB287" s="169"/>
      <c r="AC287" s="169"/>
      <c r="AD287" s="169"/>
      <c r="AE287" s="169"/>
      <c r="AF287" s="169"/>
      <c r="AG287" s="169"/>
      <c r="AH287" s="169"/>
      <c r="AI287" s="169"/>
      <c r="AJ287" s="169"/>
      <c r="AK287" s="169"/>
      <c r="AL287" s="169"/>
      <c r="AM287" s="169"/>
      <c r="AN287" s="169"/>
      <c r="AO287" s="169"/>
      <c r="AP287" s="169"/>
    </row>
    <row r="288" spans="5:42" x14ac:dyDescent="0.2">
      <c r="E288" s="169"/>
      <c r="F288" s="169"/>
      <c r="G288" s="169"/>
      <c r="H288" s="169"/>
      <c r="I288" s="169"/>
      <c r="J288" s="169"/>
      <c r="K288" s="169"/>
      <c r="L288" s="169"/>
      <c r="M288" s="169"/>
      <c r="N288" s="169"/>
      <c r="O288" s="169"/>
      <c r="P288" s="169"/>
      <c r="Q288" s="169"/>
      <c r="R288" s="169"/>
      <c r="S288" s="169"/>
      <c r="T288" s="169"/>
      <c r="U288" s="169"/>
      <c r="V288" s="169"/>
      <c r="W288" s="169"/>
      <c r="X288" s="169"/>
      <c r="Y288" s="169"/>
      <c r="Z288" s="169"/>
      <c r="AA288" s="169"/>
      <c r="AB288" s="169"/>
      <c r="AC288" s="169"/>
      <c r="AD288" s="169"/>
      <c r="AE288" s="169"/>
      <c r="AF288" s="169"/>
      <c r="AG288" s="169"/>
      <c r="AH288" s="169"/>
      <c r="AI288" s="169"/>
      <c r="AJ288" s="169"/>
      <c r="AK288" s="169"/>
      <c r="AL288" s="169"/>
      <c r="AM288" s="169"/>
      <c r="AN288" s="169"/>
      <c r="AO288" s="169"/>
      <c r="AP288" s="169"/>
    </row>
    <row r="289" spans="5:42" x14ac:dyDescent="0.2">
      <c r="E289" s="169"/>
      <c r="F289" s="169"/>
      <c r="G289" s="169"/>
      <c r="H289" s="169"/>
      <c r="I289" s="169"/>
      <c r="J289" s="169"/>
      <c r="K289" s="169"/>
      <c r="L289" s="169"/>
      <c r="M289" s="169"/>
      <c r="N289" s="169"/>
      <c r="O289" s="169"/>
      <c r="P289" s="169"/>
      <c r="Q289" s="169"/>
      <c r="R289" s="169"/>
      <c r="S289" s="169"/>
      <c r="T289" s="169"/>
      <c r="U289" s="169"/>
      <c r="V289" s="169"/>
      <c r="W289" s="169"/>
      <c r="X289" s="169"/>
      <c r="Y289" s="169"/>
      <c r="Z289" s="169"/>
      <c r="AA289" s="169"/>
      <c r="AB289" s="169"/>
      <c r="AC289" s="169"/>
      <c r="AD289" s="169"/>
      <c r="AE289" s="169"/>
      <c r="AF289" s="169"/>
      <c r="AG289" s="169"/>
      <c r="AH289" s="169"/>
      <c r="AI289" s="169"/>
      <c r="AJ289" s="169"/>
      <c r="AK289" s="169"/>
      <c r="AL289" s="169"/>
      <c r="AM289" s="169"/>
      <c r="AN289" s="169"/>
      <c r="AO289" s="169"/>
      <c r="AP289" s="169"/>
    </row>
    <row r="290" spans="5:42" x14ac:dyDescent="0.2">
      <c r="E290" s="169"/>
      <c r="F290" s="169"/>
      <c r="G290" s="169"/>
      <c r="H290" s="169"/>
      <c r="I290" s="169"/>
      <c r="J290" s="169"/>
      <c r="K290" s="169"/>
      <c r="L290" s="169"/>
      <c r="M290" s="169"/>
      <c r="N290" s="169"/>
      <c r="O290" s="169"/>
      <c r="P290" s="169"/>
      <c r="Q290" s="169"/>
      <c r="R290" s="169"/>
      <c r="S290" s="169"/>
      <c r="T290" s="169"/>
      <c r="U290" s="169"/>
      <c r="V290" s="169"/>
      <c r="W290" s="169"/>
      <c r="X290" s="169"/>
      <c r="Y290" s="169"/>
      <c r="Z290" s="169"/>
      <c r="AA290" s="169"/>
      <c r="AB290" s="169"/>
      <c r="AC290" s="169"/>
      <c r="AD290" s="169"/>
      <c r="AE290" s="169"/>
      <c r="AF290" s="169"/>
      <c r="AG290" s="169"/>
      <c r="AH290" s="169"/>
      <c r="AI290" s="169"/>
      <c r="AJ290" s="169"/>
      <c r="AK290" s="169"/>
      <c r="AL290" s="169"/>
      <c r="AM290" s="169"/>
      <c r="AN290" s="169"/>
      <c r="AO290" s="169"/>
      <c r="AP290" s="169"/>
    </row>
    <row r="291" spans="5:42" x14ac:dyDescent="0.2">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169"/>
      <c r="AC291" s="169"/>
      <c r="AD291" s="169"/>
      <c r="AE291" s="169"/>
      <c r="AF291" s="169"/>
      <c r="AG291" s="169"/>
      <c r="AH291" s="169"/>
      <c r="AI291" s="169"/>
      <c r="AJ291" s="169"/>
      <c r="AK291" s="169"/>
      <c r="AL291" s="169"/>
      <c r="AM291" s="169"/>
      <c r="AN291" s="169"/>
      <c r="AO291" s="169"/>
      <c r="AP291" s="169"/>
    </row>
    <row r="292" spans="5:42" x14ac:dyDescent="0.2">
      <c r="E292" s="169"/>
      <c r="F292" s="169"/>
      <c r="G292" s="169"/>
      <c r="H292" s="169"/>
      <c r="I292" s="169"/>
      <c r="J292" s="169"/>
      <c r="K292" s="169"/>
      <c r="L292" s="169"/>
      <c r="M292" s="169"/>
      <c r="N292" s="169"/>
      <c r="O292" s="169"/>
      <c r="P292" s="169"/>
      <c r="Q292" s="169"/>
      <c r="R292" s="169"/>
      <c r="S292" s="169"/>
      <c r="T292" s="169"/>
      <c r="U292" s="169"/>
      <c r="V292" s="169"/>
      <c r="W292" s="169"/>
      <c r="X292" s="169"/>
      <c r="Y292" s="169"/>
      <c r="Z292" s="169"/>
      <c r="AA292" s="169"/>
      <c r="AB292" s="169"/>
      <c r="AC292" s="169"/>
      <c r="AD292" s="169"/>
      <c r="AE292" s="169"/>
      <c r="AF292" s="169"/>
      <c r="AG292" s="169"/>
      <c r="AH292" s="169"/>
      <c r="AI292" s="169"/>
      <c r="AJ292" s="169"/>
      <c r="AK292" s="169"/>
      <c r="AL292" s="169"/>
      <c r="AM292" s="169"/>
      <c r="AN292" s="169"/>
      <c r="AO292" s="169"/>
      <c r="AP292" s="169"/>
    </row>
    <row r="293" spans="5:42" x14ac:dyDescent="0.2">
      <c r="E293" s="169"/>
      <c r="F293" s="169"/>
      <c r="G293" s="169"/>
      <c r="H293" s="169"/>
      <c r="I293" s="169"/>
      <c r="J293" s="169"/>
      <c r="K293" s="169"/>
      <c r="L293" s="169"/>
      <c r="M293" s="169"/>
      <c r="N293" s="169"/>
      <c r="O293" s="169"/>
      <c r="P293" s="169"/>
      <c r="Q293" s="169"/>
      <c r="R293" s="169"/>
      <c r="S293" s="169"/>
      <c r="T293" s="169"/>
      <c r="U293" s="169"/>
      <c r="V293" s="169"/>
      <c r="W293" s="169"/>
      <c r="X293" s="169"/>
      <c r="Y293" s="169"/>
      <c r="Z293" s="169"/>
      <c r="AA293" s="169"/>
      <c r="AB293" s="169"/>
      <c r="AC293" s="169"/>
      <c r="AD293" s="169"/>
      <c r="AE293" s="169"/>
      <c r="AF293" s="169"/>
      <c r="AG293" s="169"/>
      <c r="AH293" s="169"/>
      <c r="AI293" s="169"/>
      <c r="AJ293" s="169"/>
      <c r="AK293" s="169"/>
      <c r="AL293" s="169"/>
      <c r="AM293" s="169"/>
      <c r="AN293" s="169"/>
      <c r="AO293" s="169"/>
      <c r="AP293" s="169"/>
    </row>
    <row r="294" spans="5:42" x14ac:dyDescent="0.2">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169"/>
      <c r="AC294" s="169"/>
      <c r="AD294" s="169"/>
      <c r="AE294" s="169"/>
      <c r="AF294" s="169"/>
      <c r="AG294" s="169"/>
      <c r="AH294" s="169"/>
      <c r="AI294" s="169"/>
      <c r="AJ294" s="169"/>
      <c r="AK294" s="169"/>
      <c r="AL294" s="169"/>
      <c r="AM294" s="169"/>
      <c r="AN294" s="169"/>
      <c r="AO294" s="169"/>
      <c r="AP294" s="169"/>
    </row>
    <row r="295" spans="5:42" x14ac:dyDescent="0.2">
      <c r="E295" s="169"/>
      <c r="F295" s="169"/>
      <c r="G295" s="169"/>
      <c r="H295" s="169"/>
      <c r="I295" s="169"/>
      <c r="J295" s="169"/>
      <c r="K295" s="169"/>
      <c r="L295" s="169"/>
      <c r="M295" s="169"/>
      <c r="N295" s="169"/>
      <c r="O295" s="169"/>
      <c r="P295" s="169"/>
      <c r="Q295" s="169"/>
      <c r="R295" s="169"/>
      <c r="S295" s="169"/>
      <c r="T295" s="169"/>
      <c r="U295" s="169"/>
      <c r="V295" s="169"/>
      <c r="W295" s="169"/>
      <c r="X295" s="169"/>
      <c r="Y295" s="169"/>
      <c r="Z295" s="169"/>
      <c r="AA295" s="169"/>
      <c r="AB295" s="169"/>
      <c r="AC295" s="169"/>
      <c r="AD295" s="169"/>
      <c r="AE295" s="169"/>
      <c r="AF295" s="169"/>
      <c r="AG295" s="169"/>
      <c r="AH295" s="169"/>
      <c r="AI295" s="169"/>
      <c r="AJ295" s="169"/>
      <c r="AK295" s="169"/>
      <c r="AL295" s="169"/>
      <c r="AM295" s="169"/>
      <c r="AN295" s="169"/>
      <c r="AO295" s="169"/>
      <c r="AP295" s="169"/>
    </row>
    <row r="296" spans="5:42" x14ac:dyDescent="0.2">
      <c r="E296" s="169"/>
      <c r="F296" s="169"/>
      <c r="G296" s="169"/>
      <c r="H296" s="169"/>
      <c r="I296" s="169"/>
      <c r="J296" s="169"/>
      <c r="K296" s="169"/>
      <c r="L296" s="169"/>
      <c r="M296" s="169"/>
      <c r="N296" s="169"/>
      <c r="O296" s="169"/>
      <c r="P296" s="169"/>
      <c r="Q296" s="169"/>
      <c r="R296" s="169"/>
      <c r="S296" s="169"/>
      <c r="T296" s="169"/>
      <c r="U296" s="169"/>
      <c r="V296" s="169"/>
      <c r="W296" s="169"/>
      <c r="X296" s="169"/>
      <c r="Y296" s="169"/>
      <c r="Z296" s="169"/>
      <c r="AA296" s="169"/>
      <c r="AB296" s="169"/>
      <c r="AC296" s="169"/>
      <c r="AD296" s="169"/>
      <c r="AE296" s="169"/>
      <c r="AF296" s="169"/>
      <c r="AG296" s="169"/>
      <c r="AH296" s="169"/>
      <c r="AI296" s="169"/>
      <c r="AJ296" s="169"/>
      <c r="AK296" s="169"/>
      <c r="AL296" s="169"/>
      <c r="AM296" s="169"/>
      <c r="AN296" s="169"/>
      <c r="AO296" s="169"/>
      <c r="AP296" s="169"/>
    </row>
    <row r="297" spans="5:42" x14ac:dyDescent="0.2">
      <c r="E297" s="169"/>
      <c r="F297" s="169"/>
      <c r="G297" s="169"/>
      <c r="H297" s="169"/>
      <c r="I297" s="169"/>
      <c r="J297" s="169"/>
      <c r="K297" s="169"/>
      <c r="L297" s="169"/>
      <c r="M297" s="169"/>
      <c r="N297" s="169"/>
      <c r="O297" s="169"/>
      <c r="P297" s="169"/>
      <c r="Q297" s="169"/>
      <c r="R297" s="169"/>
      <c r="S297" s="169"/>
      <c r="T297" s="169"/>
      <c r="U297" s="169"/>
      <c r="V297" s="169"/>
      <c r="W297" s="169"/>
      <c r="X297" s="169"/>
      <c r="Y297" s="169"/>
      <c r="Z297" s="169"/>
      <c r="AA297" s="169"/>
      <c r="AB297" s="169"/>
      <c r="AC297" s="169"/>
      <c r="AD297" s="169"/>
      <c r="AE297" s="169"/>
      <c r="AF297" s="169"/>
      <c r="AG297" s="169"/>
      <c r="AH297" s="169"/>
      <c r="AI297" s="169"/>
      <c r="AJ297" s="169"/>
      <c r="AK297" s="169"/>
      <c r="AL297" s="169"/>
      <c r="AM297" s="169"/>
      <c r="AN297" s="169"/>
      <c r="AO297" s="169"/>
      <c r="AP297" s="169"/>
    </row>
    <row r="298" spans="5:42" x14ac:dyDescent="0.2">
      <c r="E298" s="169"/>
      <c r="F298" s="169"/>
      <c r="G298" s="169"/>
      <c r="H298" s="169"/>
      <c r="I298" s="169"/>
      <c r="J298" s="169"/>
      <c r="K298" s="169"/>
      <c r="L298" s="169"/>
      <c r="M298" s="169"/>
      <c r="N298" s="169"/>
      <c r="O298" s="169"/>
      <c r="P298" s="169"/>
      <c r="Q298" s="169"/>
      <c r="R298" s="169"/>
      <c r="S298" s="169"/>
      <c r="T298" s="169"/>
      <c r="U298" s="169"/>
      <c r="V298" s="169"/>
      <c r="W298" s="169"/>
      <c r="X298" s="169"/>
      <c r="Y298" s="169"/>
      <c r="Z298" s="169"/>
      <c r="AA298" s="169"/>
      <c r="AB298" s="169"/>
      <c r="AC298" s="169"/>
      <c r="AD298" s="169"/>
      <c r="AE298" s="169"/>
      <c r="AF298" s="169"/>
      <c r="AG298" s="169"/>
      <c r="AH298" s="169"/>
      <c r="AI298" s="169"/>
      <c r="AJ298" s="169"/>
      <c r="AK298" s="169"/>
      <c r="AL298" s="169"/>
      <c r="AM298" s="169"/>
      <c r="AN298" s="169"/>
      <c r="AO298" s="169"/>
      <c r="AP298" s="169"/>
    </row>
    <row r="299" spans="5:42" x14ac:dyDescent="0.2">
      <c r="E299" s="169"/>
      <c r="F299" s="169"/>
      <c r="G299" s="169"/>
      <c r="H299" s="169"/>
      <c r="I299" s="169"/>
      <c r="J299" s="169"/>
      <c r="K299" s="169"/>
      <c r="L299" s="169"/>
      <c r="M299" s="169"/>
      <c r="N299" s="169"/>
      <c r="O299" s="169"/>
      <c r="P299" s="169"/>
      <c r="Q299" s="169"/>
      <c r="R299" s="169"/>
      <c r="S299" s="169"/>
      <c r="T299" s="169"/>
      <c r="U299" s="169"/>
      <c r="V299" s="169"/>
      <c r="W299" s="169"/>
      <c r="X299" s="169"/>
      <c r="Y299" s="169"/>
      <c r="Z299" s="169"/>
      <c r="AA299" s="169"/>
      <c r="AB299" s="169"/>
      <c r="AC299" s="169"/>
      <c r="AD299" s="169"/>
      <c r="AE299" s="169"/>
      <c r="AF299" s="169"/>
      <c r="AG299" s="169"/>
      <c r="AH299" s="169"/>
      <c r="AI299" s="169"/>
      <c r="AJ299" s="169"/>
      <c r="AK299" s="169"/>
      <c r="AL299" s="169"/>
      <c r="AM299" s="169"/>
      <c r="AN299" s="169"/>
      <c r="AO299" s="169"/>
      <c r="AP299" s="169"/>
    </row>
    <row r="300" spans="5:42" x14ac:dyDescent="0.2">
      <c r="E300" s="169"/>
      <c r="F300" s="169"/>
      <c r="G300" s="169"/>
      <c r="H300" s="169"/>
      <c r="I300" s="169"/>
      <c r="J300" s="169"/>
      <c r="K300" s="169"/>
      <c r="L300" s="169"/>
      <c r="M300" s="169"/>
      <c r="N300" s="169"/>
      <c r="O300" s="169"/>
      <c r="P300" s="169"/>
      <c r="Q300" s="169"/>
      <c r="R300" s="169"/>
      <c r="S300" s="169"/>
      <c r="T300" s="169"/>
      <c r="U300" s="169"/>
      <c r="V300" s="169"/>
      <c r="W300" s="169"/>
      <c r="X300" s="169"/>
      <c r="Y300" s="169"/>
      <c r="Z300" s="169"/>
      <c r="AA300" s="169"/>
      <c r="AB300" s="169"/>
      <c r="AC300" s="169"/>
      <c r="AD300" s="169"/>
      <c r="AE300" s="169"/>
      <c r="AF300" s="169"/>
      <c r="AG300" s="169"/>
      <c r="AH300" s="169"/>
      <c r="AI300" s="169"/>
      <c r="AJ300" s="169"/>
      <c r="AK300" s="169"/>
      <c r="AL300" s="169"/>
      <c r="AM300" s="169"/>
      <c r="AN300" s="169"/>
      <c r="AO300" s="169"/>
      <c r="AP300" s="169"/>
    </row>
    <row r="301" spans="5:42" x14ac:dyDescent="0.2">
      <c r="E301" s="169"/>
      <c r="F301" s="169"/>
      <c r="G301" s="169"/>
      <c r="H301" s="169"/>
      <c r="I301" s="169"/>
      <c r="J301" s="169"/>
      <c r="K301" s="169"/>
      <c r="L301" s="169"/>
      <c r="M301" s="169"/>
      <c r="N301" s="169"/>
      <c r="O301" s="169"/>
      <c r="P301" s="169"/>
      <c r="Q301" s="169"/>
      <c r="R301" s="169"/>
      <c r="S301" s="169"/>
      <c r="T301" s="169"/>
      <c r="U301" s="169"/>
      <c r="V301" s="169"/>
      <c r="W301" s="169"/>
      <c r="X301" s="169"/>
      <c r="Y301" s="169"/>
      <c r="Z301" s="169"/>
      <c r="AA301" s="169"/>
      <c r="AB301" s="169"/>
      <c r="AC301" s="169"/>
      <c r="AD301" s="169"/>
      <c r="AE301" s="169"/>
      <c r="AF301" s="169"/>
      <c r="AG301" s="169"/>
      <c r="AH301" s="169"/>
      <c r="AI301" s="169"/>
      <c r="AJ301" s="169"/>
      <c r="AK301" s="169"/>
      <c r="AL301" s="169"/>
      <c r="AM301" s="169"/>
      <c r="AN301" s="169"/>
      <c r="AO301" s="169"/>
      <c r="AP301" s="169"/>
    </row>
    <row r="302" spans="5:42" x14ac:dyDescent="0.2">
      <c r="E302" s="169"/>
      <c r="F302" s="169"/>
      <c r="G302" s="169"/>
      <c r="H302" s="169"/>
      <c r="I302" s="169"/>
      <c r="J302" s="169"/>
      <c r="K302" s="169"/>
      <c r="L302" s="169"/>
      <c r="M302" s="169"/>
      <c r="N302" s="169"/>
      <c r="O302" s="169"/>
      <c r="P302" s="169"/>
      <c r="Q302" s="169"/>
      <c r="R302" s="169"/>
      <c r="S302" s="169"/>
      <c r="T302" s="169"/>
      <c r="U302" s="169"/>
      <c r="V302" s="169"/>
      <c r="W302" s="169"/>
      <c r="X302" s="169"/>
      <c r="Y302" s="169"/>
      <c r="Z302" s="169"/>
      <c r="AA302" s="169"/>
      <c r="AB302" s="169"/>
      <c r="AC302" s="169"/>
      <c r="AD302" s="169"/>
      <c r="AE302" s="169"/>
      <c r="AF302" s="169"/>
      <c r="AG302" s="169"/>
      <c r="AH302" s="169"/>
      <c r="AI302" s="169"/>
      <c r="AJ302" s="169"/>
      <c r="AK302" s="169"/>
      <c r="AL302" s="169"/>
      <c r="AM302" s="169"/>
      <c r="AN302" s="169"/>
      <c r="AO302" s="169"/>
      <c r="AP302" s="169"/>
    </row>
    <row r="303" spans="5:42" x14ac:dyDescent="0.2">
      <c r="E303" s="169"/>
      <c r="F303" s="169"/>
      <c r="G303" s="169"/>
      <c r="H303" s="169"/>
      <c r="I303" s="169"/>
      <c r="J303" s="169"/>
      <c r="K303" s="169"/>
      <c r="L303" s="169"/>
      <c r="M303" s="169"/>
      <c r="N303" s="169"/>
      <c r="O303" s="169"/>
      <c r="P303" s="169"/>
      <c r="Q303" s="169"/>
      <c r="R303" s="169"/>
      <c r="S303" s="169"/>
      <c r="T303" s="169"/>
      <c r="U303" s="169"/>
      <c r="V303" s="169"/>
      <c r="W303" s="169"/>
      <c r="X303" s="169"/>
      <c r="Y303" s="169"/>
      <c r="Z303" s="169"/>
      <c r="AA303" s="169"/>
      <c r="AB303" s="169"/>
      <c r="AC303" s="169"/>
      <c r="AD303" s="169"/>
      <c r="AE303" s="169"/>
      <c r="AF303" s="169"/>
      <c r="AG303" s="169"/>
      <c r="AH303" s="169"/>
      <c r="AI303" s="169"/>
      <c r="AJ303" s="169"/>
      <c r="AK303" s="169"/>
      <c r="AL303" s="169"/>
      <c r="AM303" s="169"/>
      <c r="AN303" s="169"/>
      <c r="AO303" s="169"/>
      <c r="AP303" s="169"/>
    </row>
    <row r="304" spans="5:42" x14ac:dyDescent="0.2">
      <c r="E304" s="169"/>
      <c r="F304" s="169"/>
      <c r="G304" s="169"/>
      <c r="H304" s="169"/>
      <c r="I304" s="169"/>
      <c r="J304" s="169"/>
      <c r="K304" s="169"/>
      <c r="L304" s="169"/>
      <c r="M304" s="169"/>
      <c r="N304" s="169"/>
      <c r="O304" s="169"/>
      <c r="P304" s="169"/>
      <c r="Q304" s="169"/>
      <c r="R304" s="169"/>
      <c r="S304" s="169"/>
      <c r="T304" s="169"/>
      <c r="U304" s="169"/>
      <c r="V304" s="169"/>
      <c r="W304" s="169"/>
      <c r="X304" s="169"/>
      <c r="Y304" s="169"/>
      <c r="Z304" s="169"/>
      <c r="AA304" s="169"/>
      <c r="AB304" s="169"/>
      <c r="AC304" s="169"/>
      <c r="AD304" s="169"/>
      <c r="AE304" s="169"/>
      <c r="AF304" s="169"/>
      <c r="AG304" s="169"/>
      <c r="AH304" s="169"/>
      <c r="AI304" s="169"/>
      <c r="AJ304" s="169"/>
      <c r="AK304" s="169"/>
      <c r="AL304" s="169"/>
      <c r="AM304" s="169"/>
      <c r="AN304" s="169"/>
      <c r="AO304" s="169"/>
      <c r="AP304" s="169"/>
    </row>
    <row r="305" spans="5:42" x14ac:dyDescent="0.2">
      <c r="E305" s="169"/>
      <c r="F305" s="169"/>
      <c r="G305" s="169"/>
      <c r="H305" s="169"/>
      <c r="I305" s="169"/>
      <c r="J305" s="169"/>
      <c r="K305" s="169"/>
      <c r="L305" s="169"/>
      <c r="M305" s="169"/>
      <c r="N305" s="169"/>
      <c r="O305" s="169"/>
      <c r="P305" s="169"/>
      <c r="Q305" s="169"/>
      <c r="R305" s="169"/>
      <c r="S305" s="169"/>
      <c r="T305" s="169"/>
      <c r="U305" s="169"/>
      <c r="V305" s="169"/>
      <c r="W305" s="169"/>
      <c r="X305" s="169"/>
      <c r="Y305" s="169"/>
      <c r="Z305" s="169"/>
      <c r="AA305" s="169"/>
      <c r="AB305" s="169"/>
      <c r="AC305" s="169"/>
      <c r="AD305" s="169"/>
      <c r="AE305" s="169"/>
      <c r="AF305" s="169"/>
      <c r="AG305" s="169"/>
      <c r="AH305" s="169"/>
      <c r="AI305" s="169"/>
      <c r="AJ305" s="169"/>
      <c r="AK305" s="169"/>
      <c r="AL305" s="169"/>
      <c r="AM305" s="169"/>
      <c r="AN305" s="169"/>
      <c r="AO305" s="169"/>
      <c r="AP305" s="169"/>
    </row>
    <row r="306" spans="5:42" x14ac:dyDescent="0.2">
      <c r="E306" s="169"/>
      <c r="F306" s="169"/>
      <c r="G306" s="169"/>
      <c r="H306" s="169"/>
      <c r="I306" s="169"/>
      <c r="J306" s="169"/>
      <c r="K306" s="169"/>
      <c r="L306" s="169"/>
      <c r="M306" s="169"/>
      <c r="N306" s="169"/>
      <c r="O306" s="169"/>
      <c r="P306" s="169"/>
      <c r="Q306" s="169"/>
      <c r="R306" s="169"/>
      <c r="S306" s="169"/>
      <c r="T306" s="169"/>
      <c r="U306" s="169"/>
      <c r="V306" s="169"/>
      <c r="W306" s="169"/>
      <c r="X306" s="169"/>
      <c r="Y306" s="169"/>
      <c r="Z306" s="169"/>
      <c r="AA306" s="169"/>
      <c r="AB306" s="169"/>
      <c r="AC306" s="169"/>
      <c r="AD306" s="169"/>
      <c r="AE306" s="169"/>
      <c r="AF306" s="169"/>
      <c r="AG306" s="169"/>
      <c r="AH306" s="169"/>
      <c r="AI306" s="169"/>
      <c r="AJ306" s="169"/>
      <c r="AK306" s="169"/>
      <c r="AL306" s="169"/>
      <c r="AM306" s="169"/>
      <c r="AN306" s="169"/>
      <c r="AO306" s="169"/>
      <c r="AP306" s="169"/>
    </row>
    <row r="307" spans="5:42" x14ac:dyDescent="0.2">
      <c r="E307" s="169"/>
      <c r="F307" s="169"/>
      <c r="G307" s="169"/>
      <c r="H307" s="169"/>
      <c r="I307" s="169"/>
      <c r="J307" s="169"/>
      <c r="K307" s="169"/>
      <c r="L307" s="169"/>
      <c r="M307" s="169"/>
      <c r="N307" s="169"/>
      <c r="O307" s="169"/>
      <c r="P307" s="169"/>
      <c r="Q307" s="169"/>
      <c r="R307" s="169"/>
      <c r="S307" s="169"/>
      <c r="T307" s="169"/>
      <c r="U307" s="169"/>
      <c r="V307" s="169"/>
      <c r="W307" s="169"/>
      <c r="X307" s="169"/>
      <c r="Y307" s="169"/>
      <c r="Z307" s="169"/>
      <c r="AA307" s="169"/>
      <c r="AB307" s="169"/>
      <c r="AC307" s="169"/>
      <c r="AD307" s="169"/>
      <c r="AE307" s="169"/>
      <c r="AF307" s="169"/>
      <c r="AG307" s="169"/>
      <c r="AH307" s="169"/>
      <c r="AI307" s="169"/>
      <c r="AJ307" s="169"/>
      <c r="AK307" s="169"/>
      <c r="AL307" s="169"/>
      <c r="AM307" s="169"/>
      <c r="AN307" s="169"/>
      <c r="AO307" s="169"/>
      <c r="AP307" s="169"/>
    </row>
    <row r="308" spans="5:42" x14ac:dyDescent="0.2">
      <c r="E308" s="169"/>
      <c r="F308" s="169"/>
      <c r="G308" s="169"/>
      <c r="H308" s="169"/>
      <c r="I308" s="169"/>
      <c r="J308" s="169"/>
      <c r="K308" s="169"/>
      <c r="L308" s="169"/>
      <c r="M308" s="169"/>
      <c r="N308" s="169"/>
      <c r="O308" s="169"/>
      <c r="P308" s="169"/>
      <c r="Q308" s="169"/>
      <c r="R308" s="169"/>
      <c r="S308" s="169"/>
      <c r="T308" s="169"/>
      <c r="U308" s="169"/>
      <c r="V308" s="169"/>
      <c r="W308" s="169"/>
      <c r="X308" s="169"/>
      <c r="Y308" s="169"/>
      <c r="Z308" s="169"/>
      <c r="AA308" s="169"/>
      <c r="AB308" s="169"/>
      <c r="AC308" s="169"/>
      <c r="AD308" s="169"/>
      <c r="AE308" s="169"/>
      <c r="AF308" s="169"/>
      <c r="AG308" s="169"/>
      <c r="AH308" s="169"/>
      <c r="AI308" s="169"/>
      <c r="AJ308" s="169"/>
      <c r="AK308" s="169"/>
      <c r="AL308" s="169"/>
      <c r="AM308" s="169"/>
      <c r="AN308" s="169"/>
      <c r="AO308" s="169"/>
      <c r="AP308" s="169"/>
    </row>
    <row r="309" spans="5:42" x14ac:dyDescent="0.2">
      <c r="E309" s="169"/>
      <c r="F309" s="169"/>
      <c r="G309" s="169"/>
      <c r="H309" s="169"/>
      <c r="I309" s="169"/>
      <c r="J309" s="169"/>
      <c r="K309" s="169"/>
      <c r="L309" s="169"/>
      <c r="M309" s="169"/>
      <c r="N309" s="169"/>
      <c r="O309" s="169"/>
      <c r="P309" s="169"/>
      <c r="Q309" s="169"/>
      <c r="R309" s="169"/>
      <c r="S309" s="169"/>
      <c r="T309" s="169"/>
      <c r="U309" s="169"/>
      <c r="V309" s="169"/>
      <c r="W309" s="169"/>
      <c r="X309" s="169"/>
      <c r="Y309" s="169"/>
      <c r="Z309" s="169"/>
      <c r="AA309" s="169"/>
      <c r="AB309" s="169"/>
      <c r="AC309" s="169"/>
      <c r="AD309" s="169"/>
      <c r="AE309" s="169"/>
      <c r="AF309" s="169"/>
      <c r="AG309" s="169"/>
      <c r="AH309" s="169"/>
      <c r="AI309" s="169"/>
      <c r="AJ309" s="169"/>
      <c r="AK309" s="169"/>
      <c r="AL309" s="169"/>
      <c r="AM309" s="169"/>
      <c r="AN309" s="169"/>
      <c r="AO309" s="169"/>
      <c r="AP309" s="169"/>
    </row>
    <row r="310" spans="5:42" x14ac:dyDescent="0.2">
      <c r="E310" s="169"/>
      <c r="F310" s="169"/>
      <c r="G310" s="169"/>
      <c r="H310" s="169"/>
      <c r="I310" s="169"/>
      <c r="J310" s="169"/>
      <c r="K310" s="169"/>
      <c r="L310" s="169"/>
      <c r="M310" s="169"/>
      <c r="N310" s="169"/>
      <c r="O310" s="169"/>
      <c r="P310" s="169"/>
      <c r="Q310" s="169"/>
      <c r="R310" s="169"/>
      <c r="S310" s="169"/>
      <c r="T310" s="169"/>
      <c r="U310" s="169"/>
      <c r="V310" s="169"/>
      <c r="W310" s="169"/>
      <c r="X310" s="169"/>
      <c r="Y310" s="169"/>
      <c r="Z310" s="169"/>
      <c r="AA310" s="169"/>
      <c r="AB310" s="169"/>
      <c r="AC310" s="169"/>
      <c r="AD310" s="169"/>
      <c r="AE310" s="169"/>
      <c r="AF310" s="169"/>
      <c r="AG310" s="169"/>
      <c r="AH310" s="169"/>
      <c r="AI310" s="169"/>
      <c r="AJ310" s="169"/>
      <c r="AK310" s="169"/>
      <c r="AL310" s="169"/>
      <c r="AM310" s="169"/>
      <c r="AN310" s="169"/>
      <c r="AO310" s="169"/>
      <c r="AP310" s="169"/>
    </row>
    <row r="311" spans="5:42" x14ac:dyDescent="0.2">
      <c r="E311" s="169"/>
      <c r="F311" s="169"/>
      <c r="G311" s="169"/>
      <c r="H311" s="169"/>
      <c r="I311" s="169"/>
      <c r="J311" s="169"/>
      <c r="K311" s="169"/>
      <c r="L311" s="169"/>
      <c r="M311" s="169"/>
      <c r="N311" s="169"/>
      <c r="O311" s="169"/>
      <c r="P311" s="169"/>
      <c r="Q311" s="169"/>
      <c r="R311" s="169"/>
      <c r="S311" s="169"/>
      <c r="T311" s="169"/>
      <c r="U311" s="169"/>
      <c r="V311" s="169"/>
      <c r="W311" s="169"/>
      <c r="X311" s="169"/>
      <c r="Y311" s="169"/>
      <c r="Z311" s="169"/>
      <c r="AA311" s="169"/>
      <c r="AB311" s="169"/>
      <c r="AC311" s="169"/>
      <c r="AD311" s="169"/>
      <c r="AE311" s="169"/>
      <c r="AF311" s="169"/>
      <c r="AG311" s="169"/>
      <c r="AH311" s="169"/>
      <c r="AI311" s="169"/>
      <c r="AJ311" s="169"/>
      <c r="AK311" s="169"/>
      <c r="AL311" s="169"/>
      <c r="AM311" s="169"/>
      <c r="AN311" s="169"/>
      <c r="AO311" s="169"/>
      <c r="AP311" s="169"/>
    </row>
    <row r="312" spans="5:42" x14ac:dyDescent="0.2">
      <c r="E312" s="169"/>
      <c r="F312" s="169"/>
      <c r="G312" s="169"/>
      <c r="H312" s="169"/>
      <c r="I312" s="169"/>
      <c r="J312" s="169"/>
      <c r="K312" s="169"/>
      <c r="L312" s="169"/>
      <c r="M312" s="169"/>
      <c r="N312" s="169"/>
      <c r="O312" s="169"/>
      <c r="P312" s="169"/>
      <c r="Q312" s="169"/>
      <c r="R312" s="169"/>
      <c r="S312" s="169"/>
      <c r="T312" s="169"/>
      <c r="U312" s="169"/>
      <c r="V312" s="169"/>
      <c r="W312" s="169"/>
      <c r="X312" s="169"/>
      <c r="Y312" s="169"/>
      <c r="Z312" s="169"/>
      <c r="AA312" s="169"/>
      <c r="AB312" s="169"/>
      <c r="AC312" s="169"/>
      <c r="AD312" s="169"/>
      <c r="AE312" s="169"/>
      <c r="AF312" s="169"/>
      <c r="AG312" s="169"/>
      <c r="AH312" s="169"/>
      <c r="AI312" s="169"/>
      <c r="AJ312" s="169"/>
      <c r="AK312" s="169"/>
      <c r="AL312" s="169"/>
      <c r="AM312" s="169"/>
      <c r="AN312" s="169"/>
      <c r="AO312" s="169"/>
      <c r="AP312" s="169"/>
    </row>
    <row r="313" spans="5:42" x14ac:dyDescent="0.2">
      <c r="E313" s="169"/>
      <c r="F313" s="169"/>
      <c r="G313" s="169"/>
      <c r="H313" s="169"/>
      <c r="I313" s="169"/>
      <c r="J313" s="169"/>
      <c r="K313" s="169"/>
      <c r="L313" s="169"/>
      <c r="M313" s="169"/>
      <c r="N313" s="169"/>
      <c r="O313" s="169"/>
      <c r="P313" s="169"/>
      <c r="Q313" s="169"/>
      <c r="R313" s="169"/>
      <c r="S313" s="169"/>
      <c r="T313" s="169"/>
      <c r="U313" s="169"/>
      <c r="V313" s="169"/>
      <c r="W313" s="169"/>
      <c r="X313" s="169"/>
      <c r="Y313" s="169"/>
      <c r="Z313" s="169"/>
      <c r="AA313" s="169"/>
      <c r="AB313" s="169"/>
      <c r="AC313" s="169"/>
      <c r="AD313" s="169"/>
      <c r="AE313" s="169"/>
      <c r="AF313" s="169"/>
      <c r="AG313" s="169"/>
      <c r="AH313" s="169"/>
      <c r="AI313" s="169"/>
      <c r="AJ313" s="169"/>
      <c r="AK313" s="169"/>
      <c r="AL313" s="169"/>
      <c r="AM313" s="169"/>
      <c r="AN313" s="169"/>
      <c r="AO313" s="169"/>
      <c r="AP313" s="169"/>
    </row>
    <row r="314" spans="5:42" x14ac:dyDescent="0.2">
      <c r="E314" s="169"/>
      <c r="F314" s="169"/>
      <c r="G314" s="169"/>
      <c r="H314" s="169"/>
      <c r="I314" s="169"/>
      <c r="J314" s="169"/>
      <c r="K314" s="169"/>
      <c r="L314" s="169"/>
      <c r="M314" s="169"/>
      <c r="N314" s="169"/>
      <c r="O314" s="169"/>
      <c r="P314" s="169"/>
      <c r="Q314" s="169"/>
      <c r="R314" s="169"/>
      <c r="S314" s="169"/>
      <c r="T314" s="169"/>
      <c r="U314" s="169"/>
      <c r="V314" s="169"/>
      <c r="W314" s="169"/>
      <c r="X314" s="169"/>
      <c r="Y314" s="169"/>
      <c r="Z314" s="169"/>
      <c r="AA314" s="169"/>
      <c r="AB314" s="169"/>
      <c r="AC314" s="169"/>
      <c r="AD314" s="169"/>
      <c r="AE314" s="169"/>
      <c r="AF314" s="169"/>
      <c r="AG314" s="169"/>
      <c r="AH314" s="169"/>
      <c r="AI314" s="169"/>
      <c r="AJ314" s="169"/>
      <c r="AK314" s="169"/>
      <c r="AL314" s="169"/>
      <c r="AM314" s="169"/>
      <c r="AN314" s="169"/>
      <c r="AO314" s="169"/>
      <c r="AP314" s="169"/>
    </row>
    <row r="315" spans="5:42" x14ac:dyDescent="0.2">
      <c r="E315" s="169"/>
      <c r="F315" s="169"/>
      <c r="G315" s="169"/>
      <c r="H315" s="169"/>
      <c r="I315" s="169"/>
      <c r="J315" s="169"/>
      <c r="K315" s="169"/>
      <c r="L315" s="169"/>
      <c r="M315" s="169"/>
      <c r="N315" s="169"/>
      <c r="O315" s="169"/>
      <c r="P315" s="169"/>
      <c r="Q315" s="169"/>
      <c r="R315" s="169"/>
      <c r="S315" s="169"/>
      <c r="T315" s="169"/>
      <c r="U315" s="169"/>
      <c r="V315" s="169"/>
      <c r="W315" s="169"/>
      <c r="X315" s="169"/>
      <c r="Y315" s="169"/>
      <c r="Z315" s="169"/>
      <c r="AA315" s="169"/>
      <c r="AB315" s="169"/>
      <c r="AC315" s="169"/>
      <c r="AD315" s="169"/>
      <c r="AE315" s="169"/>
      <c r="AF315" s="169"/>
      <c r="AG315" s="169"/>
      <c r="AH315" s="169"/>
      <c r="AI315" s="169"/>
      <c r="AJ315" s="169"/>
      <c r="AK315" s="169"/>
      <c r="AL315" s="169"/>
      <c r="AM315" s="169"/>
      <c r="AN315" s="169"/>
      <c r="AO315" s="169"/>
      <c r="AP315" s="169"/>
    </row>
    <row r="316" spans="5:42" x14ac:dyDescent="0.2">
      <c r="E316" s="169"/>
      <c r="F316" s="169"/>
      <c r="G316" s="169"/>
      <c r="H316" s="169"/>
      <c r="I316" s="169"/>
      <c r="J316" s="169"/>
      <c r="K316" s="169"/>
      <c r="L316" s="169"/>
      <c r="M316" s="169"/>
      <c r="N316" s="169"/>
      <c r="O316" s="169"/>
      <c r="P316" s="169"/>
      <c r="Q316" s="169"/>
      <c r="R316" s="169"/>
      <c r="S316" s="169"/>
      <c r="T316" s="169"/>
      <c r="U316" s="169"/>
      <c r="V316" s="169"/>
      <c r="W316" s="169"/>
      <c r="X316" s="169"/>
      <c r="Y316" s="169"/>
      <c r="Z316" s="169"/>
      <c r="AA316" s="169"/>
      <c r="AB316" s="169"/>
      <c r="AC316" s="169"/>
      <c r="AD316" s="169"/>
      <c r="AE316" s="169"/>
      <c r="AF316" s="169"/>
      <c r="AG316" s="169"/>
      <c r="AH316" s="169"/>
      <c r="AI316" s="169"/>
      <c r="AJ316" s="169"/>
      <c r="AK316" s="169"/>
      <c r="AL316" s="169"/>
      <c r="AM316" s="169"/>
      <c r="AN316" s="169"/>
      <c r="AO316" s="169"/>
      <c r="AP316" s="169"/>
    </row>
    <row r="317" spans="5:42" x14ac:dyDescent="0.2">
      <c r="E317" s="169"/>
      <c r="F317" s="169"/>
      <c r="G317" s="169"/>
      <c r="H317" s="169"/>
      <c r="I317" s="169"/>
      <c r="J317" s="169"/>
      <c r="K317" s="169"/>
      <c r="L317" s="169"/>
      <c r="M317" s="169"/>
      <c r="N317" s="169"/>
      <c r="O317" s="169"/>
      <c r="P317" s="169"/>
      <c r="Q317" s="169"/>
      <c r="R317" s="169"/>
      <c r="S317" s="169"/>
      <c r="T317" s="169"/>
      <c r="U317" s="169"/>
      <c r="V317" s="169"/>
      <c r="W317" s="169"/>
      <c r="X317" s="169"/>
      <c r="Y317" s="169"/>
      <c r="Z317" s="169"/>
      <c r="AA317" s="169"/>
      <c r="AB317" s="169"/>
      <c r="AC317" s="169"/>
      <c r="AD317" s="169"/>
      <c r="AE317" s="169"/>
      <c r="AF317" s="169"/>
      <c r="AG317" s="169"/>
      <c r="AH317" s="169"/>
      <c r="AI317" s="169"/>
      <c r="AJ317" s="169"/>
      <c r="AK317" s="169"/>
      <c r="AL317" s="169"/>
      <c r="AM317" s="169"/>
      <c r="AN317" s="169"/>
      <c r="AO317" s="169"/>
      <c r="AP317" s="169"/>
    </row>
    <row r="318" spans="5:42" x14ac:dyDescent="0.2">
      <c r="E318" s="169"/>
      <c r="F318" s="169"/>
      <c r="G318" s="169"/>
      <c r="H318" s="169"/>
      <c r="I318" s="169"/>
      <c r="J318" s="169"/>
      <c r="K318" s="169"/>
      <c r="L318" s="169"/>
      <c r="M318" s="169"/>
      <c r="N318" s="169"/>
      <c r="O318" s="169"/>
      <c r="P318" s="169"/>
      <c r="Q318" s="169"/>
      <c r="R318" s="169"/>
      <c r="S318" s="169"/>
      <c r="T318" s="169"/>
      <c r="U318" s="169"/>
      <c r="V318" s="169"/>
      <c r="W318" s="169"/>
      <c r="X318" s="169"/>
      <c r="Y318" s="169"/>
      <c r="Z318" s="169"/>
      <c r="AA318" s="169"/>
      <c r="AB318" s="169"/>
      <c r="AC318" s="169"/>
      <c r="AD318" s="169"/>
      <c r="AE318" s="169"/>
      <c r="AF318" s="169"/>
      <c r="AG318" s="169"/>
      <c r="AH318" s="169"/>
      <c r="AI318" s="169"/>
      <c r="AJ318" s="169"/>
      <c r="AK318" s="169"/>
      <c r="AL318" s="169"/>
      <c r="AM318" s="169"/>
      <c r="AN318" s="169"/>
      <c r="AO318" s="169"/>
      <c r="AP318" s="169"/>
    </row>
    <row r="319" spans="5:42" x14ac:dyDescent="0.2">
      <c r="E319" s="169"/>
      <c r="F319" s="169"/>
      <c r="G319" s="169"/>
      <c r="H319" s="169"/>
      <c r="I319" s="169"/>
      <c r="J319" s="169"/>
      <c r="K319" s="169"/>
      <c r="L319" s="169"/>
      <c r="M319" s="169"/>
      <c r="N319" s="169"/>
      <c r="O319" s="169"/>
      <c r="P319" s="169"/>
      <c r="Q319" s="169"/>
      <c r="R319" s="169"/>
      <c r="S319" s="169"/>
      <c r="T319" s="169"/>
      <c r="U319" s="169"/>
      <c r="V319" s="169"/>
      <c r="W319" s="169"/>
      <c r="X319" s="169"/>
      <c r="Y319" s="169"/>
      <c r="Z319" s="169"/>
      <c r="AA319" s="169"/>
      <c r="AB319" s="169"/>
      <c r="AC319" s="169"/>
      <c r="AD319" s="169"/>
      <c r="AE319" s="169"/>
      <c r="AF319" s="169"/>
      <c r="AG319" s="169"/>
      <c r="AH319" s="169"/>
      <c r="AI319" s="169"/>
      <c r="AJ319" s="169"/>
      <c r="AK319" s="169"/>
      <c r="AL319" s="169"/>
      <c r="AM319" s="169"/>
      <c r="AN319" s="169"/>
      <c r="AO319" s="169"/>
      <c r="AP319" s="169"/>
    </row>
    <row r="320" spans="5:42" x14ac:dyDescent="0.2">
      <c r="E320" s="169"/>
      <c r="F320" s="169"/>
      <c r="G320" s="169"/>
      <c r="H320" s="169"/>
      <c r="I320" s="169"/>
      <c r="J320" s="169"/>
      <c r="K320" s="169"/>
      <c r="L320" s="169"/>
      <c r="M320" s="169"/>
      <c r="N320" s="169"/>
      <c r="O320" s="169"/>
      <c r="P320" s="169"/>
      <c r="Q320" s="169"/>
      <c r="R320" s="169"/>
      <c r="S320" s="169"/>
      <c r="T320" s="169"/>
      <c r="U320" s="169"/>
      <c r="V320" s="169"/>
      <c r="W320" s="169"/>
      <c r="X320" s="169"/>
      <c r="Y320" s="169"/>
      <c r="Z320" s="169"/>
      <c r="AA320" s="169"/>
      <c r="AB320" s="169"/>
      <c r="AC320" s="169"/>
      <c r="AD320" s="169"/>
      <c r="AE320" s="169"/>
      <c r="AF320" s="169"/>
      <c r="AG320" s="169"/>
      <c r="AH320" s="169"/>
      <c r="AI320" s="169"/>
      <c r="AJ320" s="169"/>
      <c r="AK320" s="169"/>
      <c r="AL320" s="169"/>
      <c r="AM320" s="169"/>
      <c r="AN320" s="169"/>
      <c r="AO320" s="169"/>
      <c r="AP320" s="169"/>
    </row>
    <row r="321" spans="5:42" x14ac:dyDescent="0.2">
      <c r="E321" s="169"/>
      <c r="F321" s="169"/>
      <c r="G321" s="169"/>
      <c r="H321" s="169"/>
      <c r="I321" s="169"/>
      <c r="J321" s="169"/>
      <c r="K321" s="169"/>
      <c r="L321" s="169"/>
      <c r="M321" s="169"/>
      <c r="N321" s="169"/>
      <c r="O321" s="169"/>
      <c r="P321" s="169"/>
      <c r="Q321" s="169"/>
      <c r="R321" s="169"/>
      <c r="S321" s="169"/>
      <c r="T321" s="169"/>
      <c r="U321" s="169"/>
      <c r="V321" s="169"/>
      <c r="W321" s="169"/>
      <c r="X321" s="169"/>
      <c r="Y321" s="169"/>
      <c r="Z321" s="169"/>
      <c r="AA321" s="169"/>
      <c r="AB321" s="169"/>
      <c r="AC321" s="169"/>
      <c r="AD321" s="169"/>
      <c r="AE321" s="169"/>
      <c r="AF321" s="169"/>
      <c r="AG321" s="169"/>
      <c r="AH321" s="169"/>
      <c r="AI321" s="169"/>
      <c r="AJ321" s="169"/>
      <c r="AK321" s="169"/>
      <c r="AL321" s="169"/>
      <c r="AM321" s="169"/>
      <c r="AN321" s="169"/>
      <c r="AO321" s="169"/>
      <c r="AP321" s="169"/>
    </row>
    <row r="322" spans="5:42" x14ac:dyDescent="0.2">
      <c r="E322" s="169"/>
      <c r="F322" s="169"/>
      <c r="G322" s="169"/>
      <c r="H322" s="169"/>
      <c r="I322" s="169"/>
      <c r="J322" s="169"/>
      <c r="K322" s="169"/>
      <c r="L322" s="169"/>
      <c r="M322" s="169"/>
      <c r="N322" s="169"/>
      <c r="O322" s="169"/>
      <c r="P322" s="169"/>
      <c r="Q322" s="169"/>
      <c r="R322" s="169"/>
      <c r="S322" s="169"/>
      <c r="T322" s="169"/>
      <c r="U322" s="169"/>
      <c r="V322" s="169"/>
      <c r="W322" s="169"/>
      <c r="X322" s="169"/>
      <c r="Y322" s="169"/>
      <c r="Z322" s="169"/>
      <c r="AA322" s="169"/>
      <c r="AB322" s="169"/>
      <c r="AC322" s="169"/>
      <c r="AD322" s="169"/>
      <c r="AE322" s="169"/>
      <c r="AF322" s="169"/>
      <c r="AG322" s="169"/>
      <c r="AH322" s="169"/>
      <c r="AI322" s="169"/>
      <c r="AJ322" s="169"/>
      <c r="AK322" s="169"/>
      <c r="AL322" s="169"/>
      <c r="AM322" s="169"/>
      <c r="AN322" s="169"/>
      <c r="AO322" s="169"/>
      <c r="AP322" s="169"/>
    </row>
    <row r="323" spans="5:42" x14ac:dyDescent="0.2">
      <c r="E323" s="169"/>
      <c r="F323" s="169"/>
      <c r="G323" s="169"/>
      <c r="H323" s="169"/>
      <c r="I323" s="169"/>
      <c r="J323" s="169"/>
      <c r="K323" s="169"/>
      <c r="L323" s="169"/>
      <c r="M323" s="169"/>
      <c r="N323" s="169"/>
      <c r="O323" s="169"/>
      <c r="P323" s="169"/>
      <c r="Q323" s="169"/>
      <c r="R323" s="169"/>
      <c r="S323" s="169"/>
      <c r="T323" s="169"/>
      <c r="U323" s="169"/>
      <c r="V323" s="169"/>
      <c r="W323" s="169"/>
      <c r="X323" s="169"/>
      <c r="Y323" s="169"/>
      <c r="Z323" s="169"/>
      <c r="AA323" s="169"/>
      <c r="AB323" s="169"/>
      <c r="AC323" s="169"/>
      <c r="AD323" s="169"/>
      <c r="AE323" s="169"/>
      <c r="AF323" s="169"/>
      <c r="AG323" s="169"/>
      <c r="AH323" s="169"/>
      <c r="AI323" s="169"/>
      <c r="AJ323" s="169"/>
      <c r="AK323" s="169"/>
      <c r="AL323" s="169"/>
      <c r="AM323" s="169"/>
      <c r="AN323" s="169"/>
      <c r="AO323" s="169"/>
      <c r="AP323" s="169"/>
    </row>
    <row r="324" spans="5:42" x14ac:dyDescent="0.2">
      <c r="E324" s="169"/>
      <c r="F324" s="169"/>
      <c r="G324" s="169"/>
      <c r="H324" s="169"/>
      <c r="I324" s="169"/>
      <c r="J324" s="169"/>
      <c r="K324" s="169"/>
      <c r="L324" s="169"/>
      <c r="M324" s="169"/>
      <c r="N324" s="169"/>
      <c r="O324" s="169"/>
      <c r="P324" s="169"/>
      <c r="Q324" s="169"/>
      <c r="R324" s="169"/>
      <c r="S324" s="169"/>
      <c r="T324" s="169"/>
      <c r="U324" s="169"/>
      <c r="V324" s="169"/>
      <c r="W324" s="169"/>
      <c r="X324" s="169"/>
      <c r="Y324" s="169"/>
      <c r="Z324" s="169"/>
      <c r="AA324" s="169"/>
      <c r="AB324" s="169"/>
      <c r="AC324" s="169"/>
      <c r="AD324" s="169"/>
      <c r="AE324" s="169"/>
      <c r="AF324" s="169"/>
      <c r="AG324" s="169"/>
      <c r="AH324" s="169"/>
      <c r="AI324" s="169"/>
      <c r="AJ324" s="169"/>
      <c r="AK324" s="169"/>
      <c r="AL324" s="169"/>
      <c r="AM324" s="169"/>
      <c r="AN324" s="169"/>
      <c r="AO324" s="169"/>
      <c r="AP324" s="169"/>
    </row>
    <row r="325" spans="5:42" x14ac:dyDescent="0.2">
      <c r="E325" s="169"/>
      <c r="F325" s="169"/>
      <c r="G325" s="169"/>
      <c r="H325" s="169"/>
      <c r="I325" s="169"/>
      <c r="J325" s="169"/>
      <c r="K325" s="169"/>
      <c r="L325" s="169"/>
      <c r="M325" s="169"/>
      <c r="N325" s="169"/>
      <c r="O325" s="169"/>
      <c r="P325" s="169"/>
      <c r="Q325" s="169"/>
      <c r="R325" s="169"/>
      <c r="S325" s="169"/>
      <c r="T325" s="169"/>
      <c r="U325" s="169"/>
      <c r="V325" s="169"/>
      <c r="W325" s="169"/>
      <c r="X325" s="169"/>
      <c r="Y325" s="169"/>
      <c r="Z325" s="169"/>
      <c r="AA325" s="169"/>
      <c r="AB325" s="169"/>
      <c r="AC325" s="169"/>
      <c r="AD325" s="169"/>
      <c r="AE325" s="169"/>
      <c r="AF325" s="169"/>
      <c r="AG325" s="169"/>
      <c r="AH325" s="169"/>
      <c r="AI325" s="169"/>
      <c r="AJ325" s="169"/>
      <c r="AK325" s="169"/>
      <c r="AL325" s="169"/>
      <c r="AM325" s="169"/>
      <c r="AN325" s="169"/>
      <c r="AO325" s="169"/>
      <c r="AP325" s="169"/>
    </row>
    <row r="326" spans="5:42" x14ac:dyDescent="0.2">
      <c r="E326" s="169"/>
      <c r="F326" s="169"/>
      <c r="G326" s="169"/>
      <c r="H326" s="169"/>
      <c r="I326" s="169"/>
      <c r="J326" s="169"/>
      <c r="K326" s="169"/>
      <c r="L326" s="169"/>
      <c r="M326" s="169"/>
      <c r="N326" s="169"/>
      <c r="O326" s="169"/>
      <c r="P326" s="169"/>
      <c r="Q326" s="169"/>
      <c r="R326" s="169"/>
      <c r="S326" s="169"/>
      <c r="T326" s="169"/>
      <c r="U326" s="169"/>
      <c r="V326" s="169"/>
      <c r="W326" s="169"/>
      <c r="X326" s="169"/>
      <c r="Y326" s="169"/>
      <c r="Z326" s="169"/>
      <c r="AA326" s="169"/>
      <c r="AB326" s="169"/>
      <c r="AC326" s="169"/>
      <c r="AD326" s="169"/>
      <c r="AE326" s="169"/>
      <c r="AF326" s="169"/>
      <c r="AG326" s="169"/>
      <c r="AH326" s="169"/>
      <c r="AI326" s="169"/>
      <c r="AJ326" s="169"/>
      <c r="AK326" s="169"/>
      <c r="AL326" s="169"/>
      <c r="AM326" s="169"/>
      <c r="AN326" s="169"/>
      <c r="AO326" s="169"/>
      <c r="AP326" s="169"/>
    </row>
    <row r="327" spans="5:42" x14ac:dyDescent="0.2">
      <c r="E327" s="169"/>
      <c r="F327" s="169"/>
      <c r="G327" s="169"/>
      <c r="H327" s="169"/>
      <c r="I327" s="169"/>
      <c r="J327" s="169"/>
      <c r="K327" s="169"/>
      <c r="L327" s="169"/>
      <c r="M327" s="169"/>
      <c r="N327" s="169"/>
      <c r="O327" s="169"/>
      <c r="P327" s="169"/>
      <c r="Q327" s="169"/>
      <c r="R327" s="169"/>
      <c r="S327" s="169"/>
      <c r="T327" s="169"/>
      <c r="U327" s="169"/>
      <c r="V327" s="169"/>
      <c r="W327" s="169"/>
      <c r="X327" s="169"/>
      <c r="Y327" s="169"/>
      <c r="Z327" s="169"/>
      <c r="AA327" s="169"/>
      <c r="AB327" s="169"/>
      <c r="AC327" s="169"/>
      <c r="AD327" s="169"/>
      <c r="AE327" s="169"/>
      <c r="AF327" s="169"/>
      <c r="AG327" s="169"/>
      <c r="AH327" s="169"/>
      <c r="AI327" s="169"/>
      <c r="AJ327" s="169"/>
      <c r="AK327" s="169"/>
      <c r="AL327" s="169"/>
      <c r="AM327" s="169"/>
      <c r="AN327" s="169"/>
      <c r="AO327" s="169"/>
      <c r="AP327" s="169"/>
    </row>
    <row r="328" spans="5:42" x14ac:dyDescent="0.2">
      <c r="E328" s="169"/>
      <c r="F328" s="169"/>
      <c r="G328" s="169"/>
      <c r="H328" s="169"/>
      <c r="I328" s="169"/>
      <c r="J328" s="169"/>
      <c r="K328" s="169"/>
      <c r="L328" s="169"/>
      <c r="M328" s="169"/>
      <c r="N328" s="169"/>
      <c r="O328" s="169"/>
      <c r="P328" s="169"/>
      <c r="Q328" s="169"/>
      <c r="R328" s="169"/>
      <c r="S328" s="169"/>
      <c r="T328" s="169"/>
      <c r="U328" s="169"/>
      <c r="V328" s="169"/>
      <c r="W328" s="169"/>
      <c r="X328" s="169"/>
      <c r="Y328" s="169"/>
      <c r="Z328" s="169"/>
      <c r="AA328" s="169"/>
      <c r="AB328" s="169"/>
      <c r="AC328" s="169"/>
      <c r="AD328" s="169"/>
      <c r="AE328" s="169"/>
      <c r="AF328" s="169"/>
      <c r="AG328" s="169"/>
      <c r="AH328" s="169"/>
      <c r="AI328" s="169"/>
      <c r="AJ328" s="169"/>
      <c r="AK328" s="169"/>
      <c r="AL328" s="169"/>
      <c r="AM328" s="169"/>
      <c r="AN328" s="169"/>
      <c r="AO328" s="169"/>
      <c r="AP328" s="169"/>
    </row>
    <row r="329" spans="5:42" x14ac:dyDescent="0.2">
      <c r="E329" s="169"/>
      <c r="F329" s="169"/>
      <c r="G329" s="169"/>
      <c r="H329" s="169"/>
      <c r="I329" s="169"/>
      <c r="J329" s="169"/>
      <c r="K329" s="169"/>
      <c r="L329" s="169"/>
      <c r="M329" s="169"/>
      <c r="N329" s="169"/>
      <c r="O329" s="169"/>
      <c r="P329" s="169"/>
      <c r="Q329" s="169"/>
      <c r="R329" s="169"/>
      <c r="S329" s="169"/>
      <c r="T329" s="169"/>
      <c r="U329" s="169"/>
      <c r="V329" s="169"/>
      <c r="W329" s="169"/>
      <c r="X329" s="169"/>
      <c r="Y329" s="169"/>
      <c r="Z329" s="169"/>
      <c r="AA329" s="169"/>
      <c r="AB329" s="169"/>
      <c r="AC329" s="169"/>
      <c r="AD329" s="169"/>
      <c r="AE329" s="169"/>
      <c r="AF329" s="169"/>
      <c r="AG329" s="169"/>
      <c r="AH329" s="169"/>
      <c r="AI329" s="169"/>
      <c r="AJ329" s="169"/>
      <c r="AK329" s="169"/>
      <c r="AL329" s="169"/>
      <c r="AM329" s="169"/>
      <c r="AN329" s="169"/>
      <c r="AO329" s="169"/>
      <c r="AP329" s="169"/>
    </row>
    <row r="330" spans="5:42" x14ac:dyDescent="0.2">
      <c r="E330" s="169"/>
      <c r="F330" s="169"/>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c r="AI330" s="169"/>
      <c r="AJ330" s="169"/>
      <c r="AK330" s="169"/>
      <c r="AL330" s="169"/>
      <c r="AM330" s="169"/>
      <c r="AN330" s="169"/>
      <c r="AO330" s="169"/>
      <c r="AP330" s="169"/>
    </row>
    <row r="331" spans="5:42" x14ac:dyDescent="0.2">
      <c r="E331" s="169"/>
      <c r="F331" s="169"/>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c r="AI331" s="169"/>
      <c r="AJ331" s="169"/>
      <c r="AK331" s="169"/>
      <c r="AL331" s="169"/>
      <c r="AM331" s="169"/>
      <c r="AN331" s="169"/>
      <c r="AO331" s="169"/>
      <c r="AP331" s="169"/>
    </row>
    <row r="332" spans="5:42" x14ac:dyDescent="0.2">
      <c r="E332" s="169"/>
      <c r="F332" s="16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c r="AI332" s="169"/>
      <c r="AJ332" s="169"/>
      <c r="AK332" s="169"/>
      <c r="AL332" s="169"/>
      <c r="AM332" s="169"/>
      <c r="AN332" s="169"/>
      <c r="AO332" s="169"/>
      <c r="AP332" s="169"/>
    </row>
    <row r="333" spans="5:42" x14ac:dyDescent="0.2">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c r="AA333" s="169"/>
      <c r="AB333" s="169"/>
      <c r="AC333" s="169"/>
      <c r="AD333" s="169"/>
      <c r="AE333" s="169"/>
      <c r="AF333" s="169"/>
      <c r="AG333" s="169"/>
      <c r="AH333" s="169"/>
      <c r="AI333" s="169"/>
      <c r="AJ333" s="169"/>
      <c r="AK333" s="169"/>
      <c r="AL333" s="169"/>
      <c r="AM333" s="169"/>
      <c r="AN333" s="169"/>
      <c r="AO333" s="169"/>
      <c r="AP333" s="169"/>
    </row>
    <row r="334" spans="5:42" x14ac:dyDescent="0.2">
      <c r="E334" s="169"/>
      <c r="F334" s="169"/>
      <c r="G334" s="169"/>
      <c r="H334" s="169"/>
      <c r="I334" s="169"/>
      <c r="J334" s="169"/>
      <c r="K334" s="169"/>
      <c r="L334" s="169"/>
      <c r="M334" s="169"/>
      <c r="N334" s="169"/>
      <c r="O334" s="169"/>
      <c r="P334" s="169"/>
      <c r="Q334" s="169"/>
      <c r="R334" s="169"/>
      <c r="S334" s="169"/>
      <c r="T334" s="169"/>
      <c r="U334" s="169"/>
      <c r="V334" s="169"/>
      <c r="W334" s="169"/>
      <c r="X334" s="169"/>
      <c r="Y334" s="169"/>
      <c r="Z334" s="169"/>
      <c r="AA334" s="169"/>
      <c r="AB334" s="169"/>
      <c r="AC334" s="169"/>
      <c r="AD334" s="169"/>
      <c r="AE334" s="169"/>
      <c r="AF334" s="169"/>
      <c r="AG334" s="169"/>
      <c r="AH334" s="169"/>
      <c r="AI334" s="169"/>
      <c r="AJ334" s="169"/>
      <c r="AK334" s="169"/>
      <c r="AL334" s="169"/>
      <c r="AM334" s="169"/>
      <c r="AN334" s="169"/>
      <c r="AO334" s="169"/>
      <c r="AP334" s="169"/>
    </row>
    <row r="335" spans="5:42" x14ac:dyDescent="0.2">
      <c r="E335" s="169"/>
      <c r="F335" s="169"/>
      <c r="G335" s="169"/>
      <c r="H335" s="169"/>
      <c r="I335" s="169"/>
      <c r="J335" s="169"/>
      <c r="K335" s="169"/>
      <c r="L335" s="169"/>
      <c r="M335" s="169"/>
      <c r="N335" s="169"/>
      <c r="O335" s="169"/>
      <c r="P335" s="169"/>
      <c r="Q335" s="169"/>
      <c r="R335" s="169"/>
      <c r="S335" s="169"/>
      <c r="T335" s="169"/>
      <c r="U335" s="169"/>
      <c r="V335" s="169"/>
      <c r="W335" s="169"/>
      <c r="X335" s="169"/>
      <c r="Y335" s="169"/>
      <c r="Z335" s="169"/>
      <c r="AA335" s="169"/>
      <c r="AB335" s="169"/>
      <c r="AC335" s="169"/>
      <c r="AD335" s="169"/>
      <c r="AE335" s="169"/>
      <c r="AF335" s="169"/>
      <c r="AG335" s="169"/>
      <c r="AH335" s="169"/>
      <c r="AI335" s="169"/>
      <c r="AJ335" s="169"/>
      <c r="AK335" s="169"/>
      <c r="AL335" s="169"/>
      <c r="AM335" s="169"/>
      <c r="AN335" s="169"/>
      <c r="AO335" s="169"/>
      <c r="AP335" s="169"/>
    </row>
    <row r="336" spans="5:42" x14ac:dyDescent="0.2">
      <c r="E336" s="169"/>
      <c r="F336" s="169"/>
      <c r="G336" s="169"/>
      <c r="H336" s="169"/>
      <c r="I336" s="169"/>
      <c r="J336" s="169"/>
      <c r="K336" s="169"/>
      <c r="L336" s="169"/>
      <c r="M336" s="169"/>
      <c r="N336" s="169"/>
      <c r="O336" s="169"/>
      <c r="P336" s="169"/>
      <c r="Q336" s="169"/>
      <c r="R336" s="169"/>
      <c r="S336" s="169"/>
      <c r="T336" s="169"/>
      <c r="U336" s="169"/>
      <c r="V336" s="169"/>
      <c r="W336" s="169"/>
      <c r="X336" s="169"/>
      <c r="Y336" s="169"/>
      <c r="Z336" s="169"/>
      <c r="AA336" s="169"/>
      <c r="AB336" s="169"/>
      <c r="AC336" s="169"/>
      <c r="AD336" s="169"/>
      <c r="AE336" s="169"/>
      <c r="AF336" s="169"/>
      <c r="AG336" s="169"/>
      <c r="AH336" s="169"/>
      <c r="AI336" s="169"/>
      <c r="AJ336" s="169"/>
      <c r="AK336" s="169"/>
      <c r="AL336" s="169"/>
      <c r="AM336" s="169"/>
      <c r="AN336" s="169"/>
      <c r="AO336" s="169"/>
      <c r="AP336" s="169"/>
    </row>
    <row r="337" spans="5:42" x14ac:dyDescent="0.2">
      <c r="E337" s="169"/>
      <c r="F337" s="169"/>
      <c r="G337" s="169"/>
      <c r="H337" s="169"/>
      <c r="I337" s="169"/>
      <c r="J337" s="169"/>
      <c r="K337" s="169"/>
      <c r="L337" s="169"/>
      <c r="M337" s="169"/>
      <c r="N337" s="169"/>
      <c r="O337" s="169"/>
      <c r="P337" s="169"/>
      <c r="Q337" s="169"/>
      <c r="R337" s="169"/>
      <c r="S337" s="169"/>
      <c r="T337" s="169"/>
      <c r="U337" s="169"/>
      <c r="V337" s="169"/>
      <c r="W337" s="169"/>
      <c r="X337" s="169"/>
      <c r="Y337" s="169"/>
      <c r="Z337" s="169"/>
      <c r="AA337" s="169"/>
      <c r="AB337" s="169"/>
      <c r="AC337" s="169"/>
      <c r="AD337" s="169"/>
      <c r="AE337" s="169"/>
      <c r="AF337" s="169"/>
      <c r="AG337" s="169"/>
      <c r="AH337" s="169"/>
      <c r="AI337" s="169"/>
      <c r="AJ337" s="169"/>
      <c r="AK337" s="169"/>
      <c r="AL337" s="169"/>
      <c r="AM337" s="169"/>
      <c r="AN337" s="169"/>
      <c r="AO337" s="169"/>
      <c r="AP337" s="169"/>
    </row>
    <row r="338" spans="5:42" x14ac:dyDescent="0.2">
      <c r="E338" s="169"/>
      <c r="F338" s="169"/>
      <c r="G338" s="169"/>
      <c r="H338" s="169"/>
      <c r="I338" s="169"/>
      <c r="J338" s="169"/>
      <c r="K338" s="169"/>
      <c r="L338" s="169"/>
      <c r="M338" s="169"/>
      <c r="N338" s="169"/>
      <c r="O338" s="169"/>
      <c r="P338" s="169"/>
      <c r="Q338" s="169"/>
      <c r="R338" s="169"/>
      <c r="S338" s="169"/>
      <c r="T338" s="169"/>
      <c r="U338" s="169"/>
      <c r="V338" s="169"/>
      <c r="W338" s="169"/>
      <c r="X338" s="169"/>
      <c r="Y338" s="169"/>
      <c r="Z338" s="169"/>
      <c r="AA338" s="169"/>
      <c r="AB338" s="169"/>
      <c r="AC338" s="169"/>
      <c r="AD338" s="169"/>
      <c r="AE338" s="169"/>
      <c r="AF338" s="169"/>
      <c r="AG338" s="169"/>
      <c r="AH338" s="169"/>
      <c r="AI338" s="169"/>
      <c r="AJ338" s="169"/>
      <c r="AK338" s="169"/>
      <c r="AL338" s="169"/>
      <c r="AM338" s="169"/>
      <c r="AN338" s="169"/>
      <c r="AO338" s="169"/>
      <c r="AP338" s="169"/>
    </row>
    <row r="339" spans="5:42" x14ac:dyDescent="0.2">
      <c r="E339" s="169"/>
      <c r="F339" s="169"/>
      <c r="G339" s="169"/>
      <c r="H339" s="169"/>
      <c r="I339" s="169"/>
      <c r="J339" s="169"/>
      <c r="K339" s="169"/>
      <c r="L339" s="169"/>
      <c r="M339" s="169"/>
      <c r="N339" s="169"/>
      <c r="O339" s="169"/>
      <c r="P339" s="169"/>
      <c r="Q339" s="169"/>
      <c r="R339" s="169"/>
      <c r="S339" s="169"/>
      <c r="T339" s="169"/>
      <c r="U339" s="169"/>
      <c r="V339" s="169"/>
      <c r="W339" s="169"/>
      <c r="X339" s="169"/>
      <c r="Y339" s="169"/>
      <c r="Z339" s="169"/>
      <c r="AA339" s="169"/>
      <c r="AB339" s="169"/>
      <c r="AC339" s="169"/>
      <c r="AD339" s="169"/>
      <c r="AE339" s="169"/>
      <c r="AF339" s="169"/>
      <c r="AG339" s="169"/>
      <c r="AH339" s="169"/>
      <c r="AI339" s="169"/>
      <c r="AJ339" s="169"/>
      <c r="AK339" s="169"/>
      <c r="AL339" s="169"/>
      <c r="AM339" s="169"/>
      <c r="AN339" s="169"/>
      <c r="AO339" s="169"/>
      <c r="AP339" s="169"/>
    </row>
    <row r="340" spans="5:42" x14ac:dyDescent="0.2">
      <c r="E340" s="169"/>
      <c r="F340" s="169"/>
      <c r="G340" s="169"/>
      <c r="H340" s="169"/>
      <c r="I340" s="169"/>
      <c r="J340" s="169"/>
      <c r="K340" s="169"/>
      <c r="L340" s="169"/>
      <c r="M340" s="169"/>
      <c r="N340" s="169"/>
      <c r="O340" s="169"/>
      <c r="P340" s="169"/>
      <c r="Q340" s="169"/>
      <c r="R340" s="169"/>
      <c r="S340" s="169"/>
      <c r="T340" s="169"/>
      <c r="U340" s="169"/>
      <c r="V340" s="169"/>
      <c r="W340" s="169"/>
      <c r="X340" s="169"/>
      <c r="Y340" s="169"/>
      <c r="Z340" s="169"/>
      <c r="AA340" s="169"/>
      <c r="AB340" s="169"/>
      <c r="AC340" s="169"/>
      <c r="AD340" s="169"/>
      <c r="AE340" s="169"/>
      <c r="AF340" s="169"/>
      <c r="AG340" s="169"/>
      <c r="AH340" s="169"/>
      <c r="AI340" s="169"/>
      <c r="AJ340" s="169"/>
      <c r="AK340" s="169"/>
      <c r="AL340" s="169"/>
      <c r="AM340" s="169"/>
      <c r="AN340" s="169"/>
      <c r="AO340" s="169"/>
      <c r="AP340" s="169"/>
    </row>
    <row r="341" spans="5:42" x14ac:dyDescent="0.2">
      <c r="E341" s="169"/>
      <c r="F341" s="169"/>
      <c r="G341" s="169"/>
      <c r="H341" s="169"/>
      <c r="I341" s="169"/>
      <c r="J341" s="169"/>
      <c r="K341" s="169"/>
      <c r="L341" s="169"/>
      <c r="M341" s="169"/>
      <c r="N341" s="169"/>
      <c r="O341" s="169"/>
      <c r="P341" s="169"/>
      <c r="Q341" s="169"/>
      <c r="R341" s="169"/>
      <c r="S341" s="169"/>
      <c r="T341" s="169"/>
      <c r="U341" s="169"/>
      <c r="V341" s="169"/>
      <c r="W341" s="169"/>
      <c r="X341" s="169"/>
      <c r="Y341" s="169"/>
      <c r="Z341" s="169"/>
      <c r="AA341" s="169"/>
      <c r="AB341" s="169"/>
      <c r="AC341" s="169"/>
      <c r="AD341" s="169"/>
      <c r="AE341" s="169"/>
      <c r="AF341" s="169"/>
      <c r="AG341" s="169"/>
      <c r="AH341" s="169"/>
      <c r="AI341" s="169"/>
      <c r="AJ341" s="169"/>
      <c r="AK341" s="169"/>
      <c r="AL341" s="169"/>
      <c r="AM341" s="169"/>
      <c r="AN341" s="169"/>
      <c r="AO341" s="169"/>
      <c r="AP341" s="169"/>
    </row>
    <row r="342" spans="5:42" x14ac:dyDescent="0.2">
      <c r="E342" s="169"/>
      <c r="F342" s="169"/>
      <c r="G342" s="169"/>
      <c r="H342" s="169"/>
      <c r="I342" s="169"/>
      <c r="J342" s="169"/>
      <c r="K342" s="169"/>
      <c r="L342" s="169"/>
      <c r="M342" s="169"/>
      <c r="N342" s="169"/>
      <c r="O342" s="169"/>
      <c r="P342" s="169"/>
      <c r="Q342" s="169"/>
      <c r="R342" s="169"/>
      <c r="S342" s="169"/>
      <c r="T342" s="169"/>
      <c r="U342" s="169"/>
      <c r="V342" s="169"/>
      <c r="W342" s="169"/>
      <c r="X342" s="169"/>
      <c r="Y342" s="169"/>
      <c r="Z342" s="169"/>
      <c r="AA342" s="169"/>
      <c r="AB342" s="169"/>
      <c r="AC342" s="169"/>
      <c r="AD342" s="169"/>
      <c r="AE342" s="169"/>
      <c r="AF342" s="169"/>
      <c r="AG342" s="169"/>
      <c r="AH342" s="169"/>
      <c r="AI342" s="169"/>
      <c r="AJ342" s="169"/>
      <c r="AK342" s="169"/>
      <c r="AL342" s="169"/>
      <c r="AM342" s="169"/>
      <c r="AN342" s="169"/>
      <c r="AO342" s="169"/>
      <c r="AP342" s="169"/>
    </row>
    <row r="343" spans="5:42" x14ac:dyDescent="0.2">
      <c r="E343" s="169"/>
      <c r="F343" s="169"/>
      <c r="G343" s="169"/>
      <c r="H343" s="169"/>
      <c r="I343" s="169"/>
      <c r="J343" s="169"/>
      <c r="K343" s="169"/>
      <c r="L343" s="169"/>
      <c r="M343" s="169"/>
      <c r="N343" s="169"/>
      <c r="O343" s="169"/>
      <c r="P343" s="169"/>
      <c r="Q343" s="169"/>
      <c r="R343" s="169"/>
      <c r="S343" s="169"/>
      <c r="T343" s="169"/>
      <c r="U343" s="169"/>
      <c r="V343" s="169"/>
      <c r="W343" s="169"/>
      <c r="X343" s="169"/>
      <c r="Y343" s="169"/>
      <c r="Z343" s="169"/>
      <c r="AA343" s="169"/>
      <c r="AB343" s="169"/>
      <c r="AC343" s="169"/>
      <c r="AD343" s="169"/>
      <c r="AE343" s="169"/>
      <c r="AF343" s="169"/>
      <c r="AG343" s="169"/>
      <c r="AH343" s="169"/>
      <c r="AI343" s="169"/>
      <c r="AJ343" s="169"/>
      <c r="AK343" s="169"/>
      <c r="AL343" s="169"/>
      <c r="AM343" s="169"/>
      <c r="AN343" s="169"/>
      <c r="AO343" s="169"/>
      <c r="AP343" s="169"/>
    </row>
    <row r="344" spans="5:42" x14ac:dyDescent="0.2">
      <c r="E344" s="169"/>
      <c r="F344" s="169"/>
      <c r="G344" s="169"/>
      <c r="H344" s="169"/>
      <c r="I344" s="169"/>
      <c r="J344" s="169"/>
      <c r="K344" s="169"/>
      <c r="L344" s="169"/>
      <c r="M344" s="169"/>
      <c r="N344" s="169"/>
      <c r="O344" s="169"/>
      <c r="P344" s="169"/>
      <c r="Q344" s="169"/>
      <c r="R344" s="169"/>
      <c r="S344" s="169"/>
      <c r="T344" s="169"/>
      <c r="U344" s="169"/>
      <c r="V344" s="169"/>
      <c r="W344" s="169"/>
      <c r="X344" s="169"/>
      <c r="Y344" s="169"/>
      <c r="Z344" s="169"/>
      <c r="AA344" s="169"/>
      <c r="AB344" s="169"/>
      <c r="AC344" s="169"/>
      <c r="AD344" s="169"/>
      <c r="AE344" s="169"/>
      <c r="AF344" s="169"/>
      <c r="AG344" s="169"/>
      <c r="AH344" s="169"/>
      <c r="AI344" s="169"/>
      <c r="AJ344" s="169"/>
      <c r="AK344" s="169"/>
      <c r="AL344" s="169"/>
      <c r="AM344" s="169"/>
      <c r="AN344" s="169"/>
      <c r="AO344" s="169"/>
      <c r="AP344" s="169"/>
    </row>
    <row r="345" spans="5:42" x14ac:dyDescent="0.2">
      <c r="E345" s="169"/>
      <c r="F345" s="169"/>
      <c r="G345" s="169"/>
      <c r="H345" s="169"/>
      <c r="I345" s="169"/>
      <c r="J345" s="169"/>
      <c r="K345" s="169"/>
      <c r="L345" s="169"/>
      <c r="M345" s="169"/>
      <c r="N345" s="169"/>
      <c r="O345" s="169"/>
      <c r="P345" s="169"/>
      <c r="Q345" s="169"/>
      <c r="R345" s="169"/>
      <c r="S345" s="169"/>
      <c r="T345" s="169"/>
      <c r="U345" s="169"/>
      <c r="V345" s="169"/>
      <c r="W345" s="169"/>
      <c r="X345" s="169"/>
      <c r="Y345" s="169"/>
      <c r="Z345" s="169"/>
      <c r="AA345" s="169"/>
      <c r="AB345" s="169"/>
      <c r="AC345" s="169"/>
      <c r="AD345" s="169"/>
      <c r="AE345" s="169"/>
      <c r="AF345" s="169"/>
      <c r="AG345" s="169"/>
      <c r="AH345" s="169"/>
      <c r="AI345" s="169"/>
      <c r="AJ345" s="169"/>
      <c r="AK345" s="169"/>
      <c r="AL345" s="169"/>
      <c r="AM345" s="169"/>
      <c r="AN345" s="169"/>
      <c r="AO345" s="169"/>
      <c r="AP345" s="169"/>
    </row>
    <row r="346" spans="5:42" x14ac:dyDescent="0.2">
      <c r="E346" s="169"/>
      <c r="F346" s="169"/>
      <c r="G346" s="169"/>
      <c r="H346" s="169"/>
      <c r="I346" s="169"/>
      <c r="J346" s="169"/>
      <c r="K346" s="169"/>
      <c r="L346" s="169"/>
      <c r="M346" s="169"/>
      <c r="N346" s="169"/>
      <c r="O346" s="169"/>
      <c r="P346" s="169"/>
      <c r="Q346" s="169"/>
      <c r="R346" s="169"/>
      <c r="S346" s="169"/>
      <c r="T346" s="169"/>
      <c r="U346" s="169"/>
      <c r="V346" s="169"/>
      <c r="W346" s="169"/>
      <c r="X346" s="169"/>
      <c r="Y346" s="169"/>
      <c r="Z346" s="169"/>
      <c r="AA346" s="169"/>
      <c r="AB346" s="169"/>
      <c r="AC346" s="169"/>
      <c r="AD346" s="169"/>
      <c r="AE346" s="169"/>
      <c r="AF346" s="169"/>
      <c r="AG346" s="169"/>
      <c r="AH346" s="169"/>
      <c r="AI346" s="169"/>
      <c r="AJ346" s="169"/>
      <c r="AK346" s="169"/>
      <c r="AL346" s="169"/>
      <c r="AM346" s="169"/>
      <c r="AN346" s="169"/>
      <c r="AO346" s="169"/>
      <c r="AP346" s="169"/>
    </row>
    <row r="347" spans="5:42" x14ac:dyDescent="0.2">
      <c r="E347" s="169"/>
      <c r="F347" s="169"/>
      <c r="G347" s="169"/>
      <c r="H347" s="169"/>
      <c r="I347" s="169"/>
      <c r="J347" s="169"/>
      <c r="K347" s="169"/>
      <c r="L347" s="169"/>
      <c r="M347" s="169"/>
      <c r="N347" s="169"/>
      <c r="O347" s="169"/>
      <c r="P347" s="169"/>
      <c r="Q347" s="169"/>
      <c r="R347" s="169"/>
      <c r="S347" s="169"/>
      <c r="T347" s="169"/>
      <c r="U347" s="169"/>
      <c r="V347" s="169"/>
      <c r="W347" s="169"/>
      <c r="X347" s="169"/>
      <c r="Y347" s="169"/>
      <c r="Z347" s="169"/>
      <c r="AA347" s="169"/>
      <c r="AB347" s="169"/>
      <c r="AC347" s="169"/>
      <c r="AD347" s="169"/>
      <c r="AE347" s="169"/>
      <c r="AF347" s="169"/>
      <c r="AG347" s="169"/>
      <c r="AH347" s="169"/>
      <c r="AI347" s="169"/>
      <c r="AJ347" s="169"/>
      <c r="AK347" s="169"/>
      <c r="AL347" s="169"/>
      <c r="AM347" s="169"/>
      <c r="AN347" s="169"/>
      <c r="AO347" s="169"/>
      <c r="AP347" s="169"/>
    </row>
    <row r="348" spans="5:42" x14ac:dyDescent="0.2">
      <c r="E348" s="169"/>
      <c r="F348" s="169"/>
      <c r="G348" s="169"/>
      <c r="H348" s="169"/>
      <c r="I348" s="169"/>
      <c r="J348" s="169"/>
      <c r="K348" s="169"/>
      <c r="L348" s="169"/>
      <c r="M348" s="169"/>
      <c r="N348" s="169"/>
      <c r="O348" s="169"/>
      <c r="P348" s="169"/>
      <c r="Q348" s="169"/>
      <c r="R348" s="169"/>
      <c r="S348" s="169"/>
      <c r="T348" s="169"/>
      <c r="U348" s="169"/>
      <c r="V348" s="169"/>
      <c r="W348" s="169"/>
      <c r="X348" s="169"/>
      <c r="Y348" s="169"/>
      <c r="Z348" s="169"/>
      <c r="AA348" s="169"/>
      <c r="AB348" s="169"/>
      <c r="AC348" s="169"/>
      <c r="AD348" s="169"/>
      <c r="AE348" s="169"/>
      <c r="AF348" s="169"/>
      <c r="AG348" s="169"/>
      <c r="AH348" s="169"/>
      <c r="AI348" s="169"/>
      <c r="AJ348" s="169"/>
      <c r="AK348" s="169"/>
      <c r="AL348" s="169"/>
      <c r="AM348" s="169"/>
      <c r="AN348" s="169"/>
      <c r="AO348" s="169"/>
      <c r="AP348" s="169"/>
    </row>
    <row r="349" spans="5:42" x14ac:dyDescent="0.2">
      <c r="E349" s="169"/>
      <c r="F349" s="169"/>
      <c r="G349" s="169"/>
      <c r="H349" s="169"/>
      <c r="I349" s="169"/>
      <c r="J349" s="169"/>
      <c r="K349" s="169"/>
      <c r="L349" s="169"/>
      <c r="M349" s="169"/>
      <c r="N349" s="169"/>
      <c r="O349" s="169"/>
      <c r="P349" s="169"/>
      <c r="Q349" s="169"/>
      <c r="R349" s="169"/>
      <c r="S349" s="169"/>
      <c r="T349" s="169"/>
      <c r="U349" s="169"/>
      <c r="V349" s="169"/>
      <c r="W349" s="169"/>
      <c r="X349" s="169"/>
      <c r="Y349" s="169"/>
      <c r="Z349" s="169"/>
      <c r="AA349" s="169"/>
      <c r="AB349" s="169"/>
      <c r="AC349" s="169"/>
      <c r="AD349" s="169"/>
      <c r="AE349" s="169"/>
      <c r="AF349" s="169"/>
      <c r="AG349" s="169"/>
      <c r="AH349" s="169"/>
      <c r="AI349" s="169"/>
      <c r="AJ349" s="169"/>
      <c r="AK349" s="169"/>
      <c r="AL349" s="169"/>
      <c r="AM349" s="169"/>
      <c r="AN349" s="169"/>
      <c r="AO349" s="169"/>
      <c r="AP349" s="169"/>
    </row>
    <row r="350" spans="5:42" x14ac:dyDescent="0.2">
      <c r="E350" s="169"/>
      <c r="F350" s="169"/>
      <c r="G350" s="169"/>
      <c r="H350" s="169"/>
      <c r="I350" s="169"/>
      <c r="J350" s="169"/>
      <c r="K350" s="169"/>
      <c r="L350" s="169"/>
      <c r="M350" s="169"/>
      <c r="N350" s="169"/>
      <c r="O350" s="169"/>
      <c r="P350" s="169"/>
      <c r="Q350" s="169"/>
      <c r="R350" s="169"/>
      <c r="S350" s="169"/>
      <c r="T350" s="169"/>
      <c r="U350" s="169"/>
      <c r="V350" s="169"/>
      <c r="W350" s="169"/>
      <c r="X350" s="169"/>
      <c r="Y350" s="169"/>
      <c r="Z350" s="169"/>
      <c r="AA350" s="169"/>
      <c r="AB350" s="169"/>
      <c r="AC350" s="169"/>
      <c r="AD350" s="169"/>
      <c r="AE350" s="169"/>
      <c r="AF350" s="169"/>
      <c r="AG350" s="169"/>
      <c r="AH350" s="169"/>
      <c r="AI350" s="169"/>
      <c r="AJ350" s="169"/>
      <c r="AK350" s="169"/>
      <c r="AL350" s="169"/>
      <c r="AM350" s="169"/>
      <c r="AN350" s="169"/>
      <c r="AO350" s="169"/>
      <c r="AP350" s="169"/>
    </row>
    <row r="351" spans="5:42" x14ac:dyDescent="0.2">
      <c r="E351" s="169"/>
      <c r="F351" s="169"/>
      <c r="G351" s="169"/>
      <c r="H351" s="169"/>
      <c r="I351" s="169"/>
      <c r="J351" s="169"/>
      <c r="K351" s="169"/>
      <c r="L351" s="169"/>
      <c r="M351" s="169"/>
      <c r="N351" s="169"/>
      <c r="O351" s="169"/>
      <c r="P351" s="169"/>
      <c r="Q351" s="169"/>
      <c r="R351" s="169"/>
      <c r="S351" s="169"/>
      <c r="T351" s="169"/>
      <c r="U351" s="169"/>
      <c r="V351" s="169"/>
      <c r="W351" s="169"/>
      <c r="X351" s="169"/>
      <c r="Y351" s="169"/>
      <c r="Z351" s="169"/>
      <c r="AA351" s="169"/>
      <c r="AB351" s="169"/>
      <c r="AC351" s="169"/>
      <c r="AD351" s="169"/>
      <c r="AE351" s="169"/>
      <c r="AF351" s="169"/>
      <c r="AG351" s="169"/>
      <c r="AH351" s="169"/>
      <c r="AI351" s="169"/>
      <c r="AJ351" s="169"/>
      <c r="AK351" s="169"/>
      <c r="AL351" s="169"/>
      <c r="AM351" s="169"/>
      <c r="AN351" s="169"/>
      <c r="AO351" s="169"/>
      <c r="AP351" s="169"/>
    </row>
    <row r="352" spans="5:42" x14ac:dyDescent="0.2">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c r="AA352" s="169"/>
      <c r="AB352" s="169"/>
      <c r="AC352" s="169"/>
      <c r="AD352" s="169"/>
      <c r="AE352" s="169"/>
      <c r="AF352" s="169"/>
      <c r="AG352" s="169"/>
      <c r="AH352" s="169"/>
      <c r="AI352" s="169"/>
      <c r="AJ352" s="169"/>
      <c r="AK352" s="169"/>
      <c r="AL352" s="169"/>
      <c r="AM352" s="169"/>
      <c r="AN352" s="169"/>
      <c r="AO352" s="169"/>
      <c r="AP352" s="169"/>
    </row>
    <row r="353" spans="5:42" x14ac:dyDescent="0.2">
      <c r="E353" s="169"/>
      <c r="F353" s="169"/>
      <c r="G353" s="169"/>
      <c r="H353" s="169"/>
      <c r="I353" s="169"/>
      <c r="J353" s="169"/>
      <c r="K353" s="169"/>
      <c r="L353" s="169"/>
      <c r="M353" s="169"/>
      <c r="N353" s="169"/>
      <c r="O353" s="169"/>
      <c r="P353" s="169"/>
      <c r="Q353" s="169"/>
      <c r="R353" s="169"/>
      <c r="S353" s="169"/>
      <c r="T353" s="169"/>
      <c r="U353" s="169"/>
      <c r="V353" s="169"/>
      <c r="W353" s="169"/>
      <c r="X353" s="169"/>
      <c r="Y353" s="169"/>
      <c r="Z353" s="169"/>
      <c r="AA353" s="169"/>
      <c r="AB353" s="169"/>
      <c r="AC353" s="169"/>
      <c r="AD353" s="169"/>
      <c r="AE353" s="169"/>
      <c r="AF353" s="169"/>
      <c r="AG353" s="169"/>
      <c r="AH353" s="169"/>
      <c r="AI353" s="169"/>
      <c r="AJ353" s="169"/>
      <c r="AK353" s="169"/>
      <c r="AL353" s="169"/>
      <c r="AM353" s="169"/>
      <c r="AN353" s="169"/>
      <c r="AO353" s="169"/>
      <c r="AP353" s="169"/>
    </row>
    <row r="354" spans="5:42" x14ac:dyDescent="0.2">
      <c r="E354" s="169"/>
      <c r="F354" s="169"/>
      <c r="G354" s="169"/>
      <c r="H354" s="169"/>
      <c r="I354" s="169"/>
      <c r="J354" s="169"/>
      <c r="K354" s="169"/>
      <c r="L354" s="169"/>
      <c r="M354" s="169"/>
      <c r="N354" s="169"/>
      <c r="O354" s="169"/>
      <c r="P354" s="169"/>
      <c r="Q354" s="169"/>
      <c r="R354" s="169"/>
      <c r="S354" s="169"/>
      <c r="T354" s="169"/>
      <c r="U354" s="169"/>
      <c r="V354" s="169"/>
      <c r="W354" s="169"/>
      <c r="X354" s="169"/>
      <c r="Y354" s="169"/>
      <c r="Z354" s="169"/>
      <c r="AA354" s="169"/>
      <c r="AB354" s="169"/>
      <c r="AC354" s="169"/>
      <c r="AD354" s="169"/>
      <c r="AE354" s="169"/>
      <c r="AF354" s="169"/>
      <c r="AG354" s="169"/>
      <c r="AH354" s="169"/>
      <c r="AI354" s="169"/>
      <c r="AJ354" s="169"/>
      <c r="AK354" s="169"/>
      <c r="AL354" s="169"/>
      <c r="AM354" s="169"/>
      <c r="AN354" s="169"/>
      <c r="AO354" s="169"/>
      <c r="AP354" s="169"/>
    </row>
    <row r="355" spans="5:42" x14ac:dyDescent="0.2">
      <c r="E355" s="169"/>
      <c r="F355" s="169"/>
      <c r="G355" s="169"/>
      <c r="H355" s="169"/>
      <c r="I355" s="169"/>
      <c r="J355" s="169"/>
      <c r="K355" s="169"/>
      <c r="L355" s="169"/>
      <c r="M355" s="169"/>
      <c r="N355" s="169"/>
      <c r="O355" s="169"/>
      <c r="P355" s="169"/>
      <c r="Q355" s="169"/>
      <c r="R355" s="169"/>
      <c r="S355" s="169"/>
      <c r="T355" s="169"/>
      <c r="U355" s="169"/>
      <c r="V355" s="169"/>
      <c r="W355" s="169"/>
      <c r="X355" s="169"/>
      <c r="Y355" s="169"/>
      <c r="Z355" s="169"/>
      <c r="AA355" s="169"/>
      <c r="AB355" s="169"/>
      <c r="AC355" s="169"/>
      <c r="AD355" s="169"/>
      <c r="AE355" s="169"/>
      <c r="AF355" s="169"/>
      <c r="AG355" s="169"/>
      <c r="AH355" s="169"/>
      <c r="AI355" s="169"/>
      <c r="AJ355" s="169"/>
      <c r="AK355" s="169"/>
      <c r="AL355" s="169"/>
      <c r="AM355" s="169"/>
      <c r="AN355" s="169"/>
      <c r="AO355" s="169"/>
      <c r="AP355" s="169"/>
    </row>
    <row r="356" spans="5:42" x14ac:dyDescent="0.2">
      <c r="E356" s="169"/>
      <c r="F356" s="169"/>
      <c r="G356" s="169"/>
      <c r="H356" s="169"/>
      <c r="I356" s="169"/>
      <c r="J356" s="169"/>
      <c r="K356" s="169"/>
      <c r="L356" s="169"/>
      <c r="M356" s="169"/>
      <c r="N356" s="169"/>
      <c r="O356" s="169"/>
      <c r="P356" s="169"/>
      <c r="Q356" s="169"/>
      <c r="R356" s="169"/>
      <c r="S356" s="169"/>
      <c r="T356" s="169"/>
      <c r="U356" s="169"/>
      <c r="V356" s="169"/>
      <c r="W356" s="169"/>
      <c r="X356" s="169"/>
      <c r="Y356" s="169"/>
      <c r="Z356" s="169"/>
      <c r="AA356" s="169"/>
      <c r="AB356" s="169"/>
      <c r="AC356" s="169"/>
      <c r="AD356" s="169"/>
      <c r="AE356" s="169"/>
      <c r="AF356" s="169"/>
      <c r="AG356" s="169"/>
      <c r="AH356" s="169"/>
      <c r="AI356" s="169"/>
      <c r="AJ356" s="169"/>
      <c r="AK356" s="169"/>
      <c r="AL356" s="169"/>
      <c r="AM356" s="169"/>
      <c r="AN356" s="169"/>
      <c r="AO356" s="169"/>
      <c r="AP356" s="169"/>
    </row>
    <row r="357" spans="5:42" x14ac:dyDescent="0.2">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69"/>
      <c r="AI357" s="169"/>
      <c r="AJ357" s="169"/>
      <c r="AK357" s="169"/>
      <c r="AL357" s="169"/>
      <c r="AM357" s="169"/>
      <c r="AN357" s="169"/>
      <c r="AO357" s="169"/>
      <c r="AP357" s="169"/>
    </row>
    <row r="358" spans="5:42" x14ac:dyDescent="0.2">
      <c r="E358" s="169"/>
      <c r="F358" s="169"/>
      <c r="G358" s="169"/>
      <c r="H358" s="169"/>
      <c r="I358" s="169"/>
      <c r="J358" s="169"/>
      <c r="K358" s="169"/>
      <c r="L358" s="169"/>
      <c r="M358" s="169"/>
      <c r="N358" s="169"/>
      <c r="O358" s="169"/>
      <c r="P358" s="169"/>
      <c r="Q358" s="169"/>
      <c r="R358" s="169"/>
      <c r="S358" s="169"/>
      <c r="T358" s="169"/>
      <c r="U358" s="169"/>
      <c r="V358" s="169"/>
      <c r="W358" s="169"/>
      <c r="X358" s="169"/>
      <c r="Y358" s="169"/>
      <c r="Z358" s="169"/>
      <c r="AA358" s="169"/>
      <c r="AB358" s="169"/>
      <c r="AC358" s="169"/>
      <c r="AD358" s="169"/>
      <c r="AE358" s="169"/>
      <c r="AF358" s="169"/>
      <c r="AG358" s="169"/>
      <c r="AH358" s="169"/>
      <c r="AI358" s="169"/>
      <c r="AJ358" s="169"/>
      <c r="AK358" s="169"/>
      <c r="AL358" s="169"/>
      <c r="AM358" s="169"/>
      <c r="AN358" s="169"/>
      <c r="AO358" s="169"/>
      <c r="AP358" s="169"/>
    </row>
    <row r="359" spans="5:42" x14ac:dyDescent="0.2">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c r="AA359" s="169"/>
      <c r="AB359" s="169"/>
      <c r="AC359" s="169"/>
      <c r="AD359" s="169"/>
      <c r="AE359" s="169"/>
      <c r="AF359" s="169"/>
      <c r="AG359" s="169"/>
      <c r="AH359" s="169"/>
      <c r="AI359" s="169"/>
      <c r="AJ359" s="169"/>
      <c r="AK359" s="169"/>
      <c r="AL359" s="169"/>
      <c r="AM359" s="169"/>
      <c r="AN359" s="169"/>
      <c r="AO359" s="169"/>
      <c r="AP359" s="169"/>
    </row>
    <row r="360" spans="5:42" x14ac:dyDescent="0.2">
      <c r="E360" s="169"/>
      <c r="F360" s="169"/>
      <c r="G360" s="169"/>
      <c r="H360" s="169"/>
      <c r="I360" s="169"/>
      <c r="J360" s="169"/>
      <c r="K360" s="169"/>
      <c r="L360" s="169"/>
      <c r="M360" s="169"/>
      <c r="N360" s="169"/>
      <c r="O360" s="169"/>
      <c r="P360" s="169"/>
      <c r="Q360" s="169"/>
      <c r="R360" s="169"/>
      <c r="S360" s="169"/>
      <c r="T360" s="169"/>
      <c r="U360" s="169"/>
      <c r="V360" s="169"/>
      <c r="W360" s="169"/>
      <c r="X360" s="169"/>
      <c r="Y360" s="169"/>
      <c r="Z360" s="169"/>
      <c r="AA360" s="169"/>
      <c r="AB360" s="169"/>
      <c r="AC360" s="169"/>
      <c r="AD360" s="169"/>
      <c r="AE360" s="169"/>
      <c r="AF360" s="169"/>
      <c r="AG360" s="169"/>
      <c r="AH360" s="169"/>
      <c r="AI360" s="169"/>
      <c r="AJ360" s="169"/>
      <c r="AK360" s="169"/>
      <c r="AL360" s="169"/>
      <c r="AM360" s="169"/>
      <c r="AN360" s="169"/>
      <c r="AO360" s="169"/>
      <c r="AP360" s="169"/>
    </row>
    <row r="361" spans="5:42" x14ac:dyDescent="0.2">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c r="AA361" s="169"/>
      <c r="AB361" s="169"/>
      <c r="AC361" s="169"/>
      <c r="AD361" s="169"/>
      <c r="AE361" s="169"/>
      <c r="AF361" s="169"/>
      <c r="AG361" s="169"/>
      <c r="AH361" s="169"/>
      <c r="AI361" s="169"/>
      <c r="AJ361" s="169"/>
      <c r="AK361" s="169"/>
      <c r="AL361" s="169"/>
      <c r="AM361" s="169"/>
      <c r="AN361" s="169"/>
      <c r="AO361" s="169"/>
      <c r="AP361" s="169"/>
    </row>
    <row r="362" spans="5:42" x14ac:dyDescent="0.2">
      <c r="E362" s="169"/>
      <c r="F362" s="169"/>
      <c r="G362" s="169"/>
      <c r="H362" s="169"/>
      <c r="I362" s="169"/>
      <c r="J362" s="169"/>
      <c r="K362" s="169"/>
      <c r="L362" s="169"/>
      <c r="M362" s="169"/>
      <c r="N362" s="169"/>
      <c r="O362" s="169"/>
      <c r="P362" s="169"/>
      <c r="Q362" s="169"/>
      <c r="R362" s="169"/>
      <c r="S362" s="169"/>
      <c r="T362" s="169"/>
      <c r="U362" s="169"/>
      <c r="V362" s="169"/>
      <c r="W362" s="169"/>
      <c r="X362" s="169"/>
      <c r="Y362" s="169"/>
      <c r="Z362" s="169"/>
      <c r="AA362" s="169"/>
      <c r="AB362" s="169"/>
      <c r="AC362" s="169"/>
      <c r="AD362" s="169"/>
      <c r="AE362" s="169"/>
      <c r="AF362" s="169"/>
      <c r="AG362" s="169"/>
      <c r="AH362" s="169"/>
      <c r="AI362" s="169"/>
      <c r="AJ362" s="169"/>
      <c r="AK362" s="169"/>
      <c r="AL362" s="169"/>
      <c r="AM362" s="169"/>
      <c r="AN362" s="169"/>
      <c r="AO362" s="169"/>
      <c r="AP362" s="169"/>
    </row>
    <row r="363" spans="5:42" x14ac:dyDescent="0.2">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c r="AA363" s="169"/>
      <c r="AB363" s="169"/>
      <c r="AC363" s="169"/>
      <c r="AD363" s="169"/>
      <c r="AE363" s="169"/>
      <c r="AF363" s="169"/>
      <c r="AG363" s="169"/>
      <c r="AH363" s="169"/>
      <c r="AI363" s="169"/>
      <c r="AJ363" s="169"/>
      <c r="AK363" s="169"/>
      <c r="AL363" s="169"/>
      <c r="AM363" s="169"/>
      <c r="AN363" s="169"/>
      <c r="AO363" s="169"/>
      <c r="AP363" s="169"/>
    </row>
    <row r="364" spans="5:42" x14ac:dyDescent="0.2">
      <c r="E364" s="169"/>
      <c r="F364" s="169"/>
      <c r="G364" s="169"/>
      <c r="H364" s="169"/>
      <c r="I364" s="169"/>
      <c r="J364" s="169"/>
      <c r="K364" s="169"/>
      <c r="L364" s="169"/>
      <c r="M364" s="169"/>
      <c r="N364" s="169"/>
      <c r="O364" s="169"/>
      <c r="P364" s="169"/>
      <c r="Q364" s="169"/>
      <c r="R364" s="169"/>
      <c r="S364" s="169"/>
      <c r="T364" s="169"/>
      <c r="U364" s="169"/>
      <c r="V364" s="169"/>
      <c r="W364" s="169"/>
      <c r="X364" s="169"/>
      <c r="Y364" s="169"/>
      <c r="Z364" s="169"/>
      <c r="AA364" s="169"/>
      <c r="AB364" s="169"/>
      <c r="AC364" s="169"/>
      <c r="AD364" s="169"/>
      <c r="AE364" s="169"/>
      <c r="AF364" s="169"/>
      <c r="AG364" s="169"/>
      <c r="AH364" s="169"/>
      <c r="AI364" s="169"/>
      <c r="AJ364" s="169"/>
      <c r="AK364" s="169"/>
      <c r="AL364" s="169"/>
      <c r="AM364" s="169"/>
      <c r="AN364" s="169"/>
      <c r="AO364" s="169"/>
      <c r="AP364" s="169"/>
    </row>
    <row r="365" spans="5:42" x14ac:dyDescent="0.2">
      <c r="E365" s="169"/>
      <c r="F365" s="169"/>
      <c r="G365" s="169"/>
      <c r="H365" s="169"/>
      <c r="I365" s="169"/>
      <c r="J365" s="169"/>
      <c r="K365" s="169"/>
      <c r="L365" s="169"/>
      <c r="M365" s="169"/>
      <c r="N365" s="169"/>
      <c r="O365" s="169"/>
      <c r="P365" s="169"/>
      <c r="Q365" s="169"/>
      <c r="R365" s="169"/>
      <c r="S365" s="169"/>
      <c r="T365" s="169"/>
      <c r="U365" s="169"/>
      <c r="V365" s="169"/>
      <c r="W365" s="169"/>
      <c r="X365" s="169"/>
      <c r="Y365" s="169"/>
      <c r="Z365" s="169"/>
      <c r="AA365" s="169"/>
      <c r="AB365" s="169"/>
      <c r="AC365" s="169"/>
      <c r="AD365" s="169"/>
      <c r="AE365" s="169"/>
      <c r="AF365" s="169"/>
      <c r="AG365" s="169"/>
      <c r="AH365" s="169"/>
      <c r="AI365" s="169"/>
      <c r="AJ365" s="169"/>
      <c r="AK365" s="169"/>
      <c r="AL365" s="169"/>
      <c r="AM365" s="169"/>
      <c r="AN365" s="169"/>
      <c r="AO365" s="169"/>
      <c r="AP365" s="169"/>
    </row>
    <row r="366" spans="5:42" x14ac:dyDescent="0.2">
      <c r="E366" s="169"/>
      <c r="F366" s="169"/>
      <c r="G366" s="169"/>
      <c r="H366" s="169"/>
      <c r="I366" s="169"/>
      <c r="J366" s="169"/>
      <c r="K366" s="169"/>
      <c r="L366" s="169"/>
      <c r="M366" s="169"/>
      <c r="N366" s="169"/>
      <c r="O366" s="169"/>
      <c r="P366" s="169"/>
      <c r="Q366" s="169"/>
      <c r="R366" s="169"/>
      <c r="S366" s="169"/>
      <c r="T366" s="169"/>
      <c r="U366" s="169"/>
      <c r="V366" s="169"/>
      <c r="W366" s="169"/>
      <c r="X366" s="169"/>
      <c r="Y366" s="169"/>
      <c r="Z366" s="169"/>
      <c r="AA366" s="169"/>
      <c r="AB366" s="169"/>
      <c r="AC366" s="169"/>
      <c r="AD366" s="169"/>
      <c r="AE366" s="169"/>
      <c r="AF366" s="169"/>
      <c r="AG366" s="169"/>
      <c r="AH366" s="169"/>
      <c r="AI366" s="169"/>
      <c r="AJ366" s="169"/>
      <c r="AK366" s="169"/>
      <c r="AL366" s="169"/>
      <c r="AM366" s="169"/>
      <c r="AN366" s="169"/>
      <c r="AO366" s="169"/>
      <c r="AP366" s="169"/>
    </row>
    <row r="367" spans="5:42" x14ac:dyDescent="0.2">
      <c r="E367" s="169"/>
      <c r="F367" s="169"/>
      <c r="G367" s="169"/>
      <c r="H367" s="169"/>
      <c r="I367" s="169"/>
      <c r="J367" s="169"/>
      <c r="K367" s="169"/>
      <c r="L367" s="169"/>
      <c r="M367" s="169"/>
      <c r="N367" s="169"/>
      <c r="O367" s="169"/>
      <c r="P367" s="169"/>
      <c r="Q367" s="169"/>
      <c r="R367" s="169"/>
      <c r="S367" s="169"/>
      <c r="T367" s="169"/>
      <c r="U367" s="169"/>
      <c r="V367" s="169"/>
      <c r="W367" s="169"/>
      <c r="X367" s="169"/>
      <c r="Y367" s="169"/>
      <c r="Z367" s="169"/>
      <c r="AA367" s="169"/>
      <c r="AB367" s="169"/>
      <c r="AC367" s="169"/>
      <c r="AD367" s="169"/>
      <c r="AE367" s="169"/>
      <c r="AF367" s="169"/>
      <c r="AG367" s="169"/>
      <c r="AH367" s="169"/>
      <c r="AI367" s="169"/>
      <c r="AJ367" s="169"/>
      <c r="AK367" s="169"/>
      <c r="AL367" s="169"/>
      <c r="AM367" s="169"/>
      <c r="AN367" s="169"/>
      <c r="AO367" s="169"/>
      <c r="AP367" s="169"/>
    </row>
    <row r="368" spans="5:42" x14ac:dyDescent="0.2">
      <c r="E368" s="169"/>
      <c r="F368" s="169"/>
      <c r="G368" s="169"/>
      <c r="H368" s="169"/>
      <c r="I368" s="169"/>
      <c r="J368" s="169"/>
      <c r="K368" s="169"/>
      <c r="L368" s="169"/>
      <c r="M368" s="169"/>
      <c r="N368" s="169"/>
      <c r="O368" s="169"/>
      <c r="P368" s="169"/>
      <c r="Q368" s="169"/>
      <c r="R368" s="169"/>
      <c r="S368" s="169"/>
      <c r="T368" s="169"/>
      <c r="U368" s="169"/>
      <c r="V368" s="169"/>
      <c r="W368" s="169"/>
      <c r="X368" s="169"/>
      <c r="Y368" s="169"/>
      <c r="Z368" s="169"/>
      <c r="AA368" s="169"/>
      <c r="AB368" s="169"/>
      <c r="AC368" s="169"/>
      <c r="AD368" s="169"/>
      <c r="AE368" s="169"/>
      <c r="AF368" s="169"/>
      <c r="AG368" s="169"/>
      <c r="AH368" s="169"/>
      <c r="AI368" s="169"/>
      <c r="AJ368" s="169"/>
      <c r="AK368" s="169"/>
      <c r="AL368" s="169"/>
      <c r="AM368" s="169"/>
      <c r="AN368" s="169"/>
      <c r="AO368" s="169"/>
      <c r="AP368" s="169"/>
    </row>
    <row r="369" spans="5:42" x14ac:dyDescent="0.2">
      <c r="E369" s="169"/>
      <c r="F369" s="169"/>
      <c r="G369" s="169"/>
      <c r="H369" s="169"/>
      <c r="I369" s="169"/>
      <c r="J369" s="169"/>
      <c r="K369" s="169"/>
      <c r="L369" s="169"/>
      <c r="M369" s="169"/>
      <c r="N369" s="169"/>
      <c r="O369" s="169"/>
      <c r="P369" s="169"/>
      <c r="Q369" s="169"/>
      <c r="R369" s="169"/>
      <c r="S369" s="169"/>
      <c r="T369" s="169"/>
      <c r="U369" s="169"/>
      <c r="V369" s="169"/>
      <c r="W369" s="169"/>
      <c r="X369" s="169"/>
      <c r="Y369" s="169"/>
      <c r="Z369" s="169"/>
      <c r="AA369" s="169"/>
      <c r="AB369" s="169"/>
      <c r="AC369" s="169"/>
      <c r="AD369" s="169"/>
      <c r="AE369" s="169"/>
      <c r="AF369" s="169"/>
      <c r="AG369" s="169"/>
      <c r="AH369" s="169"/>
      <c r="AI369" s="169"/>
      <c r="AJ369" s="169"/>
      <c r="AK369" s="169"/>
      <c r="AL369" s="169"/>
      <c r="AM369" s="169"/>
      <c r="AN369" s="169"/>
      <c r="AO369" s="169"/>
      <c r="AP369" s="169"/>
    </row>
    <row r="370" spans="5:42" x14ac:dyDescent="0.2">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c r="AA370" s="169"/>
      <c r="AB370" s="169"/>
      <c r="AC370" s="169"/>
      <c r="AD370" s="169"/>
      <c r="AE370" s="169"/>
      <c r="AF370" s="169"/>
      <c r="AG370" s="169"/>
      <c r="AH370" s="169"/>
      <c r="AI370" s="169"/>
      <c r="AJ370" s="169"/>
      <c r="AK370" s="169"/>
      <c r="AL370" s="169"/>
      <c r="AM370" s="169"/>
      <c r="AN370" s="169"/>
      <c r="AO370" s="169"/>
      <c r="AP370" s="169"/>
    </row>
    <row r="371" spans="5:42" x14ac:dyDescent="0.2">
      <c r="E371" s="169"/>
      <c r="F371" s="169"/>
      <c r="G371" s="169"/>
      <c r="H371" s="169"/>
      <c r="I371" s="169"/>
      <c r="J371" s="169"/>
      <c r="K371" s="169"/>
      <c r="L371" s="169"/>
      <c r="M371" s="169"/>
      <c r="N371" s="169"/>
      <c r="O371" s="169"/>
      <c r="P371" s="169"/>
      <c r="Q371" s="169"/>
      <c r="R371" s="169"/>
      <c r="S371" s="169"/>
      <c r="T371" s="169"/>
      <c r="U371" s="169"/>
      <c r="V371" s="169"/>
      <c r="W371" s="169"/>
      <c r="X371" s="169"/>
      <c r="Y371" s="169"/>
      <c r="Z371" s="169"/>
      <c r="AA371" s="169"/>
      <c r="AB371" s="169"/>
      <c r="AC371" s="169"/>
      <c r="AD371" s="169"/>
      <c r="AE371" s="169"/>
      <c r="AF371" s="169"/>
      <c r="AG371" s="169"/>
      <c r="AH371" s="169"/>
      <c r="AI371" s="169"/>
      <c r="AJ371" s="169"/>
      <c r="AK371" s="169"/>
      <c r="AL371" s="169"/>
      <c r="AM371" s="169"/>
      <c r="AN371" s="169"/>
      <c r="AO371" s="169"/>
      <c r="AP371" s="169"/>
    </row>
    <row r="372" spans="5:42" x14ac:dyDescent="0.2">
      <c r="E372" s="169"/>
      <c r="F372" s="169"/>
      <c r="G372" s="169"/>
      <c r="H372" s="169"/>
      <c r="I372" s="169"/>
      <c r="J372" s="169"/>
      <c r="K372" s="169"/>
      <c r="L372" s="169"/>
      <c r="M372" s="169"/>
      <c r="N372" s="169"/>
      <c r="O372" s="169"/>
      <c r="P372" s="169"/>
      <c r="Q372" s="169"/>
      <c r="R372" s="169"/>
      <c r="S372" s="169"/>
      <c r="T372" s="169"/>
      <c r="U372" s="169"/>
      <c r="V372" s="169"/>
      <c r="W372" s="169"/>
      <c r="X372" s="169"/>
      <c r="Y372" s="169"/>
      <c r="Z372" s="169"/>
      <c r="AA372" s="169"/>
      <c r="AB372" s="169"/>
      <c r="AC372" s="169"/>
      <c r="AD372" s="169"/>
      <c r="AE372" s="169"/>
      <c r="AF372" s="169"/>
      <c r="AG372" s="169"/>
      <c r="AH372" s="169"/>
      <c r="AI372" s="169"/>
      <c r="AJ372" s="169"/>
      <c r="AK372" s="169"/>
      <c r="AL372" s="169"/>
      <c r="AM372" s="169"/>
      <c r="AN372" s="169"/>
      <c r="AO372" s="169"/>
      <c r="AP372" s="169"/>
    </row>
    <row r="373" spans="5:42" x14ac:dyDescent="0.2">
      <c r="E373" s="169"/>
      <c r="F373" s="169"/>
      <c r="G373" s="169"/>
      <c r="H373" s="169"/>
      <c r="I373" s="169"/>
      <c r="J373" s="169"/>
      <c r="K373" s="169"/>
      <c r="L373" s="169"/>
      <c r="M373" s="169"/>
      <c r="N373" s="169"/>
      <c r="O373" s="169"/>
      <c r="P373" s="169"/>
      <c r="Q373" s="169"/>
      <c r="R373" s="169"/>
      <c r="S373" s="169"/>
      <c r="T373" s="169"/>
      <c r="U373" s="169"/>
      <c r="V373" s="169"/>
      <c r="W373" s="169"/>
      <c r="X373" s="169"/>
      <c r="Y373" s="169"/>
      <c r="Z373" s="169"/>
      <c r="AA373" s="169"/>
      <c r="AB373" s="169"/>
      <c r="AC373" s="169"/>
      <c r="AD373" s="169"/>
      <c r="AE373" s="169"/>
      <c r="AF373" s="169"/>
      <c r="AG373" s="169"/>
      <c r="AH373" s="169"/>
      <c r="AI373" s="169"/>
      <c r="AJ373" s="169"/>
      <c r="AK373" s="169"/>
      <c r="AL373" s="169"/>
      <c r="AM373" s="169"/>
      <c r="AN373" s="169"/>
      <c r="AO373" s="169"/>
      <c r="AP373" s="169"/>
    </row>
    <row r="374" spans="5:42" x14ac:dyDescent="0.2">
      <c r="E374" s="169"/>
      <c r="F374" s="169"/>
      <c r="G374" s="169"/>
      <c r="H374" s="169"/>
      <c r="I374" s="169"/>
      <c r="J374" s="169"/>
      <c r="K374" s="169"/>
      <c r="L374" s="169"/>
      <c r="M374" s="169"/>
      <c r="N374" s="169"/>
      <c r="O374" s="169"/>
      <c r="P374" s="169"/>
      <c r="Q374" s="169"/>
      <c r="R374" s="169"/>
      <c r="S374" s="169"/>
      <c r="T374" s="169"/>
      <c r="U374" s="169"/>
      <c r="V374" s="169"/>
      <c r="W374" s="169"/>
      <c r="X374" s="169"/>
      <c r="Y374" s="169"/>
      <c r="Z374" s="169"/>
      <c r="AA374" s="169"/>
      <c r="AB374" s="169"/>
      <c r="AC374" s="169"/>
      <c r="AD374" s="169"/>
      <c r="AE374" s="169"/>
      <c r="AF374" s="169"/>
      <c r="AG374" s="169"/>
      <c r="AH374" s="169"/>
      <c r="AI374" s="169"/>
      <c r="AJ374" s="169"/>
      <c r="AK374" s="169"/>
      <c r="AL374" s="169"/>
      <c r="AM374" s="169"/>
      <c r="AN374" s="169"/>
      <c r="AO374" s="169"/>
      <c r="AP374" s="169"/>
    </row>
    <row r="375" spans="5:42" x14ac:dyDescent="0.2">
      <c r="E375" s="169"/>
      <c r="F375" s="169"/>
      <c r="G375" s="169"/>
      <c r="H375" s="169"/>
      <c r="I375" s="169"/>
      <c r="J375" s="169"/>
      <c r="K375" s="169"/>
      <c r="L375" s="169"/>
      <c r="M375" s="169"/>
      <c r="N375" s="169"/>
      <c r="O375" s="169"/>
      <c r="P375" s="169"/>
      <c r="Q375" s="169"/>
      <c r="R375" s="169"/>
      <c r="S375" s="169"/>
      <c r="T375" s="169"/>
      <c r="U375" s="169"/>
      <c r="V375" s="169"/>
      <c r="W375" s="169"/>
      <c r="X375" s="169"/>
      <c r="Y375" s="169"/>
      <c r="Z375" s="169"/>
      <c r="AA375" s="169"/>
      <c r="AB375" s="169"/>
      <c r="AC375" s="169"/>
      <c r="AD375" s="169"/>
      <c r="AE375" s="169"/>
      <c r="AF375" s="169"/>
      <c r="AG375" s="169"/>
      <c r="AH375" s="169"/>
      <c r="AI375" s="169"/>
      <c r="AJ375" s="169"/>
      <c r="AK375" s="169"/>
      <c r="AL375" s="169"/>
      <c r="AM375" s="169"/>
      <c r="AN375" s="169"/>
      <c r="AO375" s="169"/>
      <c r="AP375" s="169"/>
    </row>
    <row r="376" spans="5:42" x14ac:dyDescent="0.2">
      <c r="E376" s="169"/>
      <c r="F376" s="169"/>
      <c r="G376" s="169"/>
      <c r="H376" s="169"/>
      <c r="I376" s="169"/>
      <c r="J376" s="169"/>
      <c r="K376" s="169"/>
      <c r="L376" s="169"/>
      <c r="M376" s="169"/>
      <c r="N376" s="169"/>
      <c r="O376" s="169"/>
      <c r="P376" s="169"/>
      <c r="Q376" s="169"/>
      <c r="R376" s="169"/>
      <c r="S376" s="169"/>
      <c r="T376" s="169"/>
      <c r="U376" s="169"/>
      <c r="V376" s="169"/>
      <c r="W376" s="169"/>
      <c r="X376" s="169"/>
      <c r="Y376" s="169"/>
      <c r="Z376" s="169"/>
      <c r="AA376" s="169"/>
      <c r="AB376" s="169"/>
      <c r="AC376" s="169"/>
      <c r="AD376" s="169"/>
      <c r="AE376" s="169"/>
      <c r="AF376" s="169"/>
      <c r="AG376" s="169"/>
      <c r="AH376" s="169"/>
      <c r="AI376" s="169"/>
      <c r="AJ376" s="169"/>
      <c r="AK376" s="169"/>
      <c r="AL376" s="169"/>
      <c r="AM376" s="169"/>
      <c r="AN376" s="169"/>
      <c r="AO376" s="169"/>
      <c r="AP376" s="169"/>
    </row>
    <row r="377" spans="5:42" x14ac:dyDescent="0.2">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c r="AA377" s="169"/>
      <c r="AB377" s="169"/>
      <c r="AC377" s="169"/>
      <c r="AD377" s="169"/>
      <c r="AE377" s="169"/>
      <c r="AF377" s="169"/>
      <c r="AG377" s="169"/>
      <c r="AH377" s="169"/>
      <c r="AI377" s="169"/>
      <c r="AJ377" s="169"/>
      <c r="AK377" s="169"/>
      <c r="AL377" s="169"/>
      <c r="AM377" s="169"/>
      <c r="AN377" s="169"/>
      <c r="AO377" s="169"/>
      <c r="AP377" s="169"/>
    </row>
    <row r="378" spans="5:42" x14ac:dyDescent="0.2">
      <c r="E378" s="169"/>
      <c r="F378" s="169"/>
      <c r="G378" s="169"/>
      <c r="H378" s="169"/>
      <c r="I378" s="169"/>
      <c r="J378" s="169"/>
      <c r="K378" s="169"/>
      <c r="L378" s="169"/>
      <c r="M378" s="169"/>
      <c r="N378" s="169"/>
      <c r="O378" s="169"/>
      <c r="P378" s="169"/>
      <c r="Q378" s="169"/>
      <c r="R378" s="169"/>
      <c r="S378" s="169"/>
      <c r="T378" s="169"/>
      <c r="U378" s="169"/>
      <c r="V378" s="169"/>
      <c r="W378" s="169"/>
      <c r="X378" s="169"/>
      <c r="Y378" s="169"/>
      <c r="Z378" s="169"/>
      <c r="AA378" s="169"/>
      <c r="AB378" s="169"/>
      <c r="AC378" s="169"/>
      <c r="AD378" s="169"/>
      <c r="AE378" s="169"/>
      <c r="AF378" s="169"/>
      <c r="AG378" s="169"/>
      <c r="AH378" s="169"/>
      <c r="AI378" s="169"/>
      <c r="AJ378" s="169"/>
      <c r="AK378" s="169"/>
      <c r="AL378" s="169"/>
      <c r="AM378" s="169"/>
      <c r="AN378" s="169"/>
      <c r="AO378" s="169"/>
      <c r="AP378" s="169"/>
    </row>
    <row r="379" spans="5:42" x14ac:dyDescent="0.2">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c r="AA379" s="169"/>
      <c r="AB379" s="169"/>
      <c r="AC379" s="169"/>
      <c r="AD379" s="169"/>
      <c r="AE379" s="169"/>
      <c r="AF379" s="169"/>
      <c r="AG379" s="169"/>
      <c r="AH379" s="169"/>
      <c r="AI379" s="169"/>
      <c r="AJ379" s="169"/>
      <c r="AK379" s="169"/>
      <c r="AL379" s="169"/>
      <c r="AM379" s="169"/>
      <c r="AN379" s="169"/>
      <c r="AO379" s="169"/>
      <c r="AP379" s="169"/>
    </row>
    <row r="380" spans="5:42" x14ac:dyDescent="0.2">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169"/>
      <c r="AG380" s="169"/>
      <c r="AH380" s="169"/>
      <c r="AI380" s="169"/>
      <c r="AJ380" s="169"/>
      <c r="AK380" s="169"/>
      <c r="AL380" s="169"/>
      <c r="AM380" s="169"/>
      <c r="AN380" s="169"/>
      <c r="AO380" s="169"/>
      <c r="AP380" s="169"/>
    </row>
    <row r="381" spans="5:42" x14ac:dyDescent="0.2">
      <c r="E381" s="169"/>
      <c r="F381" s="169"/>
      <c r="G381" s="169"/>
      <c r="H381" s="169"/>
      <c r="I381" s="169"/>
      <c r="J381" s="169"/>
      <c r="K381" s="169"/>
      <c r="L381" s="169"/>
      <c r="M381" s="169"/>
      <c r="N381" s="169"/>
      <c r="O381" s="169"/>
      <c r="P381" s="169"/>
      <c r="Q381" s="169"/>
      <c r="R381" s="169"/>
      <c r="S381" s="169"/>
      <c r="T381" s="169"/>
      <c r="U381" s="169"/>
      <c r="V381" s="169"/>
      <c r="W381" s="169"/>
      <c r="X381" s="169"/>
      <c r="Y381" s="169"/>
      <c r="Z381" s="169"/>
      <c r="AA381" s="169"/>
      <c r="AB381" s="169"/>
      <c r="AC381" s="169"/>
      <c r="AD381" s="169"/>
      <c r="AE381" s="169"/>
      <c r="AF381" s="169"/>
      <c r="AG381" s="169"/>
      <c r="AH381" s="169"/>
      <c r="AI381" s="169"/>
      <c r="AJ381" s="169"/>
      <c r="AK381" s="169"/>
      <c r="AL381" s="169"/>
      <c r="AM381" s="169"/>
      <c r="AN381" s="169"/>
      <c r="AO381" s="169"/>
      <c r="AP381" s="169"/>
    </row>
    <row r="382" spans="5:42" x14ac:dyDescent="0.2">
      <c r="E382" s="169"/>
      <c r="F382" s="169"/>
      <c r="G382" s="169"/>
      <c r="H382" s="169"/>
      <c r="I382" s="169"/>
      <c r="J382" s="169"/>
      <c r="K382" s="169"/>
      <c r="L382" s="169"/>
      <c r="M382" s="169"/>
      <c r="N382" s="169"/>
      <c r="O382" s="169"/>
      <c r="P382" s="169"/>
      <c r="Q382" s="169"/>
      <c r="R382" s="169"/>
      <c r="S382" s="169"/>
      <c r="T382" s="169"/>
      <c r="U382" s="169"/>
      <c r="V382" s="169"/>
      <c r="W382" s="169"/>
      <c r="X382" s="169"/>
      <c r="Y382" s="169"/>
      <c r="Z382" s="169"/>
      <c r="AA382" s="169"/>
      <c r="AB382" s="169"/>
      <c r="AC382" s="169"/>
      <c r="AD382" s="169"/>
      <c r="AE382" s="169"/>
      <c r="AF382" s="169"/>
      <c r="AG382" s="169"/>
      <c r="AH382" s="169"/>
      <c r="AI382" s="169"/>
      <c r="AJ382" s="169"/>
      <c r="AK382" s="169"/>
      <c r="AL382" s="169"/>
      <c r="AM382" s="169"/>
      <c r="AN382" s="169"/>
      <c r="AO382" s="169"/>
      <c r="AP382" s="169"/>
    </row>
    <row r="383" spans="5:42" x14ac:dyDescent="0.2">
      <c r="E383" s="169"/>
      <c r="F383" s="169"/>
      <c r="G383" s="169"/>
      <c r="H383" s="169"/>
      <c r="I383" s="169"/>
      <c r="J383" s="169"/>
      <c r="K383" s="169"/>
      <c r="L383" s="169"/>
      <c r="M383" s="169"/>
      <c r="N383" s="169"/>
      <c r="O383" s="169"/>
      <c r="P383" s="169"/>
      <c r="Q383" s="169"/>
      <c r="R383" s="169"/>
      <c r="S383" s="169"/>
      <c r="T383" s="169"/>
      <c r="U383" s="169"/>
      <c r="V383" s="169"/>
      <c r="W383" s="169"/>
      <c r="X383" s="169"/>
      <c r="Y383" s="169"/>
      <c r="Z383" s="169"/>
      <c r="AA383" s="169"/>
      <c r="AB383" s="169"/>
      <c r="AC383" s="169"/>
      <c r="AD383" s="169"/>
      <c r="AE383" s="169"/>
      <c r="AF383" s="169"/>
      <c r="AG383" s="169"/>
      <c r="AH383" s="169"/>
      <c r="AI383" s="169"/>
      <c r="AJ383" s="169"/>
      <c r="AK383" s="169"/>
      <c r="AL383" s="169"/>
      <c r="AM383" s="169"/>
      <c r="AN383" s="169"/>
      <c r="AO383" s="169"/>
      <c r="AP383" s="169"/>
    </row>
    <row r="384" spans="5:42" x14ac:dyDescent="0.2">
      <c r="E384" s="169"/>
      <c r="F384" s="169"/>
      <c r="G384" s="169"/>
      <c r="H384" s="169"/>
      <c r="I384" s="169"/>
      <c r="J384" s="169"/>
      <c r="K384" s="169"/>
      <c r="L384" s="169"/>
      <c r="M384" s="169"/>
      <c r="N384" s="169"/>
      <c r="O384" s="169"/>
      <c r="P384" s="169"/>
      <c r="Q384" s="169"/>
      <c r="R384" s="169"/>
      <c r="S384" s="169"/>
      <c r="T384" s="169"/>
      <c r="U384" s="169"/>
      <c r="V384" s="169"/>
      <c r="W384" s="169"/>
      <c r="X384" s="169"/>
      <c r="Y384" s="169"/>
      <c r="Z384" s="169"/>
      <c r="AA384" s="169"/>
      <c r="AB384" s="169"/>
      <c r="AC384" s="169"/>
      <c r="AD384" s="169"/>
      <c r="AE384" s="169"/>
      <c r="AF384" s="169"/>
      <c r="AG384" s="169"/>
      <c r="AH384" s="169"/>
      <c r="AI384" s="169"/>
      <c r="AJ384" s="169"/>
      <c r="AK384" s="169"/>
      <c r="AL384" s="169"/>
      <c r="AM384" s="169"/>
      <c r="AN384" s="169"/>
      <c r="AO384" s="169"/>
      <c r="AP384" s="169"/>
    </row>
    <row r="385" spans="5:42" x14ac:dyDescent="0.2">
      <c r="E385" s="169"/>
      <c r="F385" s="169"/>
      <c r="G385" s="169"/>
      <c r="H385" s="169"/>
      <c r="I385" s="169"/>
      <c r="J385" s="169"/>
      <c r="K385" s="169"/>
      <c r="L385" s="169"/>
      <c r="M385" s="169"/>
      <c r="N385" s="169"/>
      <c r="O385" s="169"/>
      <c r="P385" s="169"/>
      <c r="Q385" s="169"/>
      <c r="R385" s="169"/>
      <c r="S385" s="169"/>
      <c r="T385" s="169"/>
      <c r="U385" s="169"/>
      <c r="V385" s="169"/>
      <c r="W385" s="169"/>
      <c r="X385" s="169"/>
      <c r="Y385" s="169"/>
      <c r="Z385" s="169"/>
      <c r="AA385" s="169"/>
      <c r="AB385" s="169"/>
      <c r="AC385" s="169"/>
      <c r="AD385" s="169"/>
      <c r="AE385" s="169"/>
      <c r="AF385" s="169"/>
      <c r="AG385" s="169"/>
      <c r="AH385" s="169"/>
      <c r="AI385" s="169"/>
      <c r="AJ385" s="169"/>
      <c r="AK385" s="169"/>
      <c r="AL385" s="169"/>
      <c r="AM385" s="169"/>
      <c r="AN385" s="169"/>
      <c r="AO385" s="169"/>
      <c r="AP385" s="169"/>
    </row>
    <row r="386" spans="5:42" x14ac:dyDescent="0.2">
      <c r="E386" s="169"/>
      <c r="F386" s="169"/>
      <c r="G386" s="169"/>
      <c r="H386" s="169"/>
      <c r="I386" s="169"/>
      <c r="J386" s="169"/>
      <c r="K386" s="169"/>
      <c r="L386" s="169"/>
      <c r="M386" s="169"/>
      <c r="N386" s="169"/>
      <c r="O386" s="169"/>
      <c r="P386" s="169"/>
      <c r="Q386" s="169"/>
      <c r="R386" s="169"/>
      <c r="S386" s="169"/>
      <c r="T386" s="169"/>
      <c r="U386" s="169"/>
      <c r="V386" s="169"/>
      <c r="W386" s="169"/>
      <c r="X386" s="169"/>
      <c r="Y386" s="169"/>
      <c r="Z386" s="169"/>
      <c r="AA386" s="169"/>
      <c r="AB386" s="169"/>
      <c r="AC386" s="169"/>
      <c r="AD386" s="169"/>
      <c r="AE386" s="169"/>
      <c r="AF386" s="169"/>
      <c r="AG386" s="169"/>
      <c r="AH386" s="169"/>
      <c r="AI386" s="169"/>
      <c r="AJ386" s="169"/>
      <c r="AK386" s="169"/>
      <c r="AL386" s="169"/>
      <c r="AM386" s="169"/>
      <c r="AN386" s="169"/>
      <c r="AO386" s="169"/>
      <c r="AP386" s="169"/>
    </row>
    <row r="387" spans="5:42" x14ac:dyDescent="0.2">
      <c r="E387" s="169"/>
      <c r="F387" s="169"/>
      <c r="G387" s="169"/>
      <c r="H387" s="169"/>
      <c r="I387" s="169"/>
      <c r="J387" s="169"/>
      <c r="K387" s="169"/>
      <c r="L387" s="169"/>
      <c r="M387" s="169"/>
      <c r="N387" s="169"/>
      <c r="O387" s="169"/>
      <c r="P387" s="169"/>
      <c r="Q387" s="169"/>
      <c r="R387" s="169"/>
      <c r="S387" s="169"/>
      <c r="T387" s="169"/>
      <c r="U387" s="169"/>
      <c r="V387" s="169"/>
      <c r="W387" s="169"/>
      <c r="X387" s="169"/>
      <c r="Y387" s="169"/>
      <c r="Z387" s="169"/>
      <c r="AA387" s="169"/>
      <c r="AB387" s="169"/>
      <c r="AC387" s="169"/>
      <c r="AD387" s="169"/>
      <c r="AE387" s="169"/>
      <c r="AF387" s="169"/>
      <c r="AG387" s="169"/>
      <c r="AH387" s="169"/>
      <c r="AI387" s="169"/>
      <c r="AJ387" s="169"/>
      <c r="AK387" s="169"/>
      <c r="AL387" s="169"/>
      <c r="AM387" s="169"/>
      <c r="AN387" s="169"/>
      <c r="AO387" s="169"/>
      <c r="AP387" s="169"/>
    </row>
    <row r="388" spans="5:42" x14ac:dyDescent="0.2">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c r="AA388" s="169"/>
      <c r="AB388" s="169"/>
      <c r="AC388" s="169"/>
      <c r="AD388" s="169"/>
      <c r="AE388" s="169"/>
      <c r="AF388" s="169"/>
      <c r="AG388" s="169"/>
      <c r="AH388" s="169"/>
      <c r="AI388" s="169"/>
      <c r="AJ388" s="169"/>
      <c r="AK388" s="169"/>
      <c r="AL388" s="169"/>
      <c r="AM388" s="169"/>
      <c r="AN388" s="169"/>
      <c r="AO388" s="169"/>
      <c r="AP388" s="169"/>
    </row>
    <row r="389" spans="5:42" x14ac:dyDescent="0.2">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c r="AA389" s="169"/>
      <c r="AB389" s="169"/>
      <c r="AC389" s="169"/>
      <c r="AD389" s="169"/>
      <c r="AE389" s="169"/>
      <c r="AF389" s="169"/>
      <c r="AG389" s="169"/>
      <c r="AH389" s="169"/>
      <c r="AI389" s="169"/>
      <c r="AJ389" s="169"/>
      <c r="AK389" s="169"/>
      <c r="AL389" s="169"/>
      <c r="AM389" s="169"/>
      <c r="AN389" s="169"/>
      <c r="AO389" s="169"/>
      <c r="AP389" s="169"/>
    </row>
    <row r="390" spans="5:42" x14ac:dyDescent="0.2">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c r="AA390" s="169"/>
      <c r="AB390" s="169"/>
      <c r="AC390" s="169"/>
      <c r="AD390" s="169"/>
      <c r="AE390" s="169"/>
      <c r="AF390" s="169"/>
      <c r="AG390" s="169"/>
      <c r="AH390" s="169"/>
      <c r="AI390" s="169"/>
      <c r="AJ390" s="169"/>
      <c r="AK390" s="169"/>
      <c r="AL390" s="169"/>
      <c r="AM390" s="169"/>
      <c r="AN390" s="169"/>
      <c r="AO390" s="169"/>
      <c r="AP390" s="169"/>
    </row>
    <row r="391" spans="5:42" x14ac:dyDescent="0.2">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c r="AA391" s="169"/>
      <c r="AB391" s="169"/>
      <c r="AC391" s="169"/>
      <c r="AD391" s="169"/>
      <c r="AE391" s="169"/>
      <c r="AF391" s="169"/>
      <c r="AG391" s="169"/>
      <c r="AH391" s="169"/>
      <c r="AI391" s="169"/>
      <c r="AJ391" s="169"/>
      <c r="AK391" s="169"/>
      <c r="AL391" s="169"/>
      <c r="AM391" s="169"/>
      <c r="AN391" s="169"/>
      <c r="AO391" s="169"/>
      <c r="AP391" s="169"/>
    </row>
    <row r="392" spans="5:42" x14ac:dyDescent="0.2">
      <c r="E392" s="169"/>
      <c r="F392" s="169"/>
      <c r="G392" s="169"/>
      <c r="H392" s="169"/>
      <c r="I392" s="169"/>
      <c r="J392" s="169"/>
      <c r="K392" s="169"/>
      <c r="L392" s="169"/>
      <c r="M392" s="169"/>
      <c r="N392" s="169"/>
      <c r="O392" s="169"/>
      <c r="P392" s="169"/>
      <c r="Q392" s="169"/>
      <c r="R392" s="169"/>
      <c r="S392" s="169"/>
      <c r="T392" s="169"/>
      <c r="U392" s="169"/>
      <c r="V392" s="169"/>
      <c r="W392" s="169"/>
      <c r="X392" s="169"/>
      <c r="Y392" s="169"/>
      <c r="Z392" s="169"/>
      <c r="AA392" s="169"/>
      <c r="AB392" s="169"/>
      <c r="AC392" s="169"/>
      <c r="AD392" s="169"/>
      <c r="AE392" s="169"/>
      <c r="AF392" s="169"/>
      <c r="AG392" s="169"/>
      <c r="AH392" s="169"/>
      <c r="AI392" s="169"/>
      <c r="AJ392" s="169"/>
      <c r="AK392" s="169"/>
      <c r="AL392" s="169"/>
      <c r="AM392" s="169"/>
      <c r="AN392" s="169"/>
      <c r="AO392" s="169"/>
      <c r="AP392" s="169"/>
    </row>
    <row r="393" spans="5:42" x14ac:dyDescent="0.2">
      <c r="E393" s="169"/>
      <c r="F393" s="169"/>
      <c r="G393" s="169"/>
      <c r="H393" s="169"/>
      <c r="I393" s="169"/>
      <c r="J393" s="169"/>
      <c r="K393" s="169"/>
      <c r="L393" s="169"/>
      <c r="M393" s="169"/>
      <c r="N393" s="169"/>
      <c r="O393" s="169"/>
      <c r="P393" s="169"/>
      <c r="Q393" s="169"/>
      <c r="R393" s="169"/>
      <c r="S393" s="169"/>
      <c r="T393" s="169"/>
      <c r="U393" s="169"/>
      <c r="V393" s="169"/>
      <c r="W393" s="169"/>
      <c r="X393" s="169"/>
      <c r="Y393" s="169"/>
      <c r="Z393" s="169"/>
      <c r="AA393" s="169"/>
      <c r="AB393" s="169"/>
      <c r="AC393" s="169"/>
      <c r="AD393" s="169"/>
      <c r="AE393" s="169"/>
      <c r="AF393" s="169"/>
      <c r="AG393" s="169"/>
      <c r="AH393" s="169"/>
      <c r="AI393" s="169"/>
      <c r="AJ393" s="169"/>
      <c r="AK393" s="169"/>
      <c r="AL393" s="169"/>
      <c r="AM393" s="169"/>
      <c r="AN393" s="169"/>
      <c r="AO393" s="169"/>
      <c r="AP393" s="169"/>
    </row>
    <row r="394" spans="5:42" x14ac:dyDescent="0.2">
      <c r="E394" s="169"/>
      <c r="F394" s="169"/>
      <c r="G394" s="169"/>
      <c r="H394" s="169"/>
      <c r="I394" s="169"/>
      <c r="J394" s="169"/>
      <c r="K394" s="169"/>
      <c r="L394" s="169"/>
      <c r="M394" s="169"/>
      <c r="N394" s="169"/>
      <c r="O394" s="169"/>
      <c r="P394" s="169"/>
      <c r="Q394" s="169"/>
      <c r="R394" s="169"/>
      <c r="S394" s="169"/>
      <c r="T394" s="169"/>
      <c r="U394" s="169"/>
      <c r="V394" s="169"/>
      <c r="W394" s="169"/>
      <c r="X394" s="169"/>
      <c r="Y394" s="169"/>
      <c r="Z394" s="169"/>
      <c r="AA394" s="169"/>
      <c r="AB394" s="169"/>
      <c r="AC394" s="169"/>
      <c r="AD394" s="169"/>
      <c r="AE394" s="169"/>
      <c r="AF394" s="169"/>
      <c r="AG394" s="169"/>
      <c r="AH394" s="169"/>
      <c r="AI394" s="169"/>
      <c r="AJ394" s="169"/>
      <c r="AK394" s="169"/>
      <c r="AL394" s="169"/>
      <c r="AM394" s="169"/>
      <c r="AN394" s="169"/>
      <c r="AO394" s="169"/>
      <c r="AP394" s="169"/>
    </row>
    <row r="395" spans="5:42" x14ac:dyDescent="0.2">
      <c r="E395" s="169"/>
      <c r="F395" s="169"/>
      <c r="G395" s="169"/>
      <c r="H395" s="169"/>
      <c r="I395" s="169"/>
      <c r="J395" s="169"/>
      <c r="K395" s="169"/>
      <c r="L395" s="169"/>
      <c r="M395" s="169"/>
      <c r="N395" s="169"/>
      <c r="O395" s="169"/>
      <c r="P395" s="169"/>
      <c r="Q395" s="169"/>
      <c r="R395" s="169"/>
      <c r="S395" s="169"/>
      <c r="T395" s="169"/>
      <c r="U395" s="169"/>
      <c r="V395" s="169"/>
      <c r="W395" s="169"/>
      <c r="X395" s="169"/>
      <c r="Y395" s="169"/>
      <c r="Z395" s="169"/>
      <c r="AA395" s="169"/>
      <c r="AB395" s="169"/>
      <c r="AC395" s="169"/>
      <c r="AD395" s="169"/>
      <c r="AE395" s="169"/>
      <c r="AF395" s="169"/>
      <c r="AG395" s="169"/>
      <c r="AH395" s="169"/>
      <c r="AI395" s="169"/>
      <c r="AJ395" s="169"/>
      <c r="AK395" s="169"/>
      <c r="AL395" s="169"/>
      <c r="AM395" s="169"/>
      <c r="AN395" s="169"/>
      <c r="AO395" s="169"/>
      <c r="AP395" s="169"/>
    </row>
    <row r="396" spans="5:42" x14ac:dyDescent="0.2">
      <c r="E396" s="169"/>
      <c r="F396" s="169"/>
      <c r="G396" s="169"/>
      <c r="H396" s="169"/>
      <c r="I396" s="169"/>
      <c r="J396" s="169"/>
      <c r="K396" s="169"/>
      <c r="L396" s="169"/>
      <c r="M396" s="169"/>
      <c r="N396" s="169"/>
      <c r="O396" s="169"/>
      <c r="P396" s="169"/>
      <c r="Q396" s="169"/>
      <c r="R396" s="169"/>
      <c r="S396" s="169"/>
      <c r="T396" s="169"/>
      <c r="U396" s="169"/>
      <c r="V396" s="169"/>
      <c r="W396" s="169"/>
      <c r="X396" s="169"/>
      <c r="Y396" s="169"/>
      <c r="Z396" s="169"/>
      <c r="AA396" s="169"/>
      <c r="AB396" s="169"/>
      <c r="AC396" s="169"/>
      <c r="AD396" s="169"/>
      <c r="AE396" s="169"/>
      <c r="AF396" s="169"/>
      <c r="AG396" s="169"/>
      <c r="AH396" s="169"/>
      <c r="AI396" s="169"/>
      <c r="AJ396" s="169"/>
      <c r="AK396" s="169"/>
      <c r="AL396" s="169"/>
      <c r="AM396" s="169"/>
      <c r="AN396" s="169"/>
      <c r="AO396" s="169"/>
      <c r="AP396" s="169"/>
    </row>
    <row r="397" spans="5:42" x14ac:dyDescent="0.2">
      <c r="E397" s="169"/>
      <c r="F397" s="169"/>
      <c r="G397" s="169"/>
      <c r="H397" s="169"/>
      <c r="I397" s="169"/>
      <c r="J397" s="169"/>
      <c r="K397" s="169"/>
      <c r="L397" s="169"/>
      <c r="M397" s="169"/>
      <c r="N397" s="169"/>
      <c r="O397" s="169"/>
      <c r="P397" s="169"/>
      <c r="Q397" s="169"/>
      <c r="R397" s="169"/>
      <c r="S397" s="169"/>
      <c r="T397" s="169"/>
      <c r="U397" s="169"/>
      <c r="V397" s="169"/>
      <c r="W397" s="169"/>
      <c r="X397" s="169"/>
      <c r="Y397" s="169"/>
      <c r="Z397" s="169"/>
      <c r="AA397" s="169"/>
      <c r="AB397" s="169"/>
      <c r="AC397" s="169"/>
      <c r="AD397" s="169"/>
      <c r="AE397" s="169"/>
      <c r="AF397" s="169"/>
      <c r="AG397" s="169"/>
      <c r="AH397" s="169"/>
      <c r="AI397" s="169"/>
      <c r="AJ397" s="169"/>
      <c r="AK397" s="169"/>
      <c r="AL397" s="169"/>
      <c r="AM397" s="169"/>
      <c r="AN397" s="169"/>
      <c r="AO397" s="169"/>
      <c r="AP397" s="169"/>
    </row>
    <row r="398" spans="5:42" x14ac:dyDescent="0.2">
      <c r="E398" s="169"/>
      <c r="F398" s="169"/>
      <c r="G398" s="169"/>
      <c r="H398" s="169"/>
      <c r="I398" s="169"/>
      <c r="J398" s="169"/>
      <c r="K398" s="169"/>
      <c r="L398" s="169"/>
      <c r="M398" s="169"/>
      <c r="N398" s="169"/>
      <c r="O398" s="169"/>
      <c r="P398" s="169"/>
      <c r="Q398" s="169"/>
      <c r="R398" s="169"/>
      <c r="S398" s="169"/>
      <c r="T398" s="169"/>
      <c r="U398" s="169"/>
      <c r="V398" s="169"/>
      <c r="W398" s="169"/>
      <c r="X398" s="169"/>
      <c r="Y398" s="169"/>
      <c r="Z398" s="169"/>
      <c r="AA398" s="169"/>
      <c r="AB398" s="169"/>
      <c r="AC398" s="169"/>
      <c r="AD398" s="169"/>
      <c r="AE398" s="169"/>
      <c r="AF398" s="169"/>
      <c r="AG398" s="169"/>
      <c r="AH398" s="169"/>
      <c r="AI398" s="169"/>
      <c r="AJ398" s="169"/>
      <c r="AK398" s="169"/>
      <c r="AL398" s="169"/>
      <c r="AM398" s="169"/>
      <c r="AN398" s="169"/>
      <c r="AO398" s="169"/>
      <c r="AP398" s="169"/>
    </row>
    <row r="399" spans="5:42" x14ac:dyDescent="0.2">
      <c r="E399" s="169"/>
      <c r="F399" s="169"/>
      <c r="G399" s="169"/>
      <c r="H399" s="169"/>
      <c r="I399" s="169"/>
      <c r="J399" s="169"/>
      <c r="K399" s="169"/>
      <c r="L399" s="169"/>
      <c r="M399" s="169"/>
      <c r="N399" s="169"/>
      <c r="O399" s="169"/>
      <c r="P399" s="169"/>
      <c r="Q399" s="169"/>
      <c r="R399" s="169"/>
      <c r="S399" s="169"/>
      <c r="T399" s="169"/>
      <c r="U399" s="169"/>
      <c r="V399" s="169"/>
      <c r="W399" s="169"/>
      <c r="X399" s="169"/>
      <c r="Y399" s="169"/>
      <c r="Z399" s="169"/>
      <c r="AA399" s="169"/>
      <c r="AB399" s="169"/>
      <c r="AC399" s="169"/>
      <c r="AD399" s="169"/>
      <c r="AE399" s="169"/>
      <c r="AF399" s="169"/>
      <c r="AG399" s="169"/>
      <c r="AH399" s="169"/>
      <c r="AI399" s="169"/>
      <c r="AJ399" s="169"/>
      <c r="AK399" s="169"/>
      <c r="AL399" s="169"/>
      <c r="AM399" s="169"/>
      <c r="AN399" s="169"/>
      <c r="AO399" s="169"/>
      <c r="AP399" s="169"/>
    </row>
    <row r="400" spans="5:42" x14ac:dyDescent="0.2">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c r="AA400" s="169"/>
      <c r="AB400" s="169"/>
      <c r="AC400" s="169"/>
      <c r="AD400" s="169"/>
      <c r="AE400" s="169"/>
      <c r="AF400" s="169"/>
      <c r="AG400" s="169"/>
      <c r="AH400" s="169"/>
      <c r="AI400" s="169"/>
      <c r="AJ400" s="169"/>
      <c r="AK400" s="169"/>
      <c r="AL400" s="169"/>
      <c r="AM400" s="169"/>
      <c r="AN400" s="169"/>
      <c r="AO400" s="169"/>
      <c r="AP400" s="169"/>
    </row>
    <row r="401" spans="5:42" x14ac:dyDescent="0.2">
      <c r="E401" s="169"/>
      <c r="F401" s="169"/>
      <c r="G401" s="169"/>
      <c r="H401" s="169"/>
      <c r="I401" s="169"/>
      <c r="J401" s="169"/>
      <c r="K401" s="169"/>
      <c r="L401" s="169"/>
      <c r="M401" s="169"/>
      <c r="N401" s="169"/>
      <c r="O401" s="169"/>
      <c r="P401" s="169"/>
      <c r="Q401" s="169"/>
      <c r="R401" s="169"/>
      <c r="S401" s="169"/>
      <c r="T401" s="169"/>
      <c r="U401" s="169"/>
      <c r="V401" s="169"/>
      <c r="W401" s="169"/>
      <c r="X401" s="169"/>
      <c r="Y401" s="169"/>
      <c r="Z401" s="169"/>
      <c r="AA401" s="169"/>
      <c r="AB401" s="169"/>
      <c r="AC401" s="169"/>
      <c r="AD401" s="169"/>
      <c r="AE401" s="169"/>
      <c r="AF401" s="169"/>
      <c r="AG401" s="169"/>
      <c r="AH401" s="169"/>
      <c r="AI401" s="169"/>
      <c r="AJ401" s="169"/>
      <c r="AK401" s="169"/>
      <c r="AL401" s="169"/>
      <c r="AM401" s="169"/>
      <c r="AN401" s="169"/>
      <c r="AO401" s="169"/>
      <c r="AP401" s="169"/>
    </row>
    <row r="402" spans="5:42" x14ac:dyDescent="0.2">
      <c r="E402" s="169"/>
      <c r="F402" s="169"/>
      <c r="G402" s="169"/>
      <c r="H402" s="169"/>
      <c r="I402" s="169"/>
      <c r="J402" s="169"/>
      <c r="K402" s="169"/>
      <c r="L402" s="169"/>
      <c r="M402" s="169"/>
      <c r="N402" s="169"/>
      <c r="O402" s="169"/>
      <c r="P402" s="169"/>
      <c r="Q402" s="169"/>
      <c r="R402" s="169"/>
      <c r="S402" s="169"/>
      <c r="T402" s="169"/>
      <c r="U402" s="169"/>
      <c r="V402" s="169"/>
      <c r="W402" s="169"/>
      <c r="X402" s="169"/>
      <c r="Y402" s="169"/>
      <c r="Z402" s="169"/>
      <c r="AA402" s="169"/>
      <c r="AB402" s="169"/>
      <c r="AC402" s="169"/>
      <c r="AD402" s="169"/>
      <c r="AE402" s="169"/>
      <c r="AF402" s="169"/>
      <c r="AG402" s="169"/>
      <c r="AH402" s="169"/>
      <c r="AI402" s="169"/>
      <c r="AJ402" s="169"/>
      <c r="AK402" s="169"/>
      <c r="AL402" s="169"/>
      <c r="AM402" s="169"/>
      <c r="AN402" s="169"/>
      <c r="AO402" s="169"/>
      <c r="AP402" s="169"/>
    </row>
    <row r="403" spans="5:42" x14ac:dyDescent="0.2">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c r="AA403" s="169"/>
      <c r="AB403" s="169"/>
      <c r="AC403" s="169"/>
      <c r="AD403" s="169"/>
      <c r="AE403" s="169"/>
      <c r="AF403" s="169"/>
      <c r="AG403" s="169"/>
      <c r="AH403" s="169"/>
      <c r="AI403" s="169"/>
      <c r="AJ403" s="169"/>
      <c r="AK403" s="169"/>
      <c r="AL403" s="169"/>
      <c r="AM403" s="169"/>
      <c r="AN403" s="169"/>
      <c r="AO403" s="169"/>
      <c r="AP403" s="169"/>
    </row>
    <row r="404" spans="5:42" x14ac:dyDescent="0.2">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c r="AA404" s="169"/>
      <c r="AB404" s="169"/>
      <c r="AC404" s="169"/>
      <c r="AD404" s="169"/>
      <c r="AE404" s="169"/>
      <c r="AF404" s="169"/>
      <c r="AG404" s="169"/>
      <c r="AH404" s="169"/>
      <c r="AI404" s="169"/>
      <c r="AJ404" s="169"/>
      <c r="AK404" s="169"/>
      <c r="AL404" s="169"/>
      <c r="AM404" s="169"/>
      <c r="AN404" s="169"/>
      <c r="AO404" s="169"/>
      <c r="AP404" s="169"/>
    </row>
    <row r="405" spans="5:42" x14ac:dyDescent="0.2">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c r="AA405" s="169"/>
      <c r="AB405" s="169"/>
      <c r="AC405" s="169"/>
      <c r="AD405" s="169"/>
      <c r="AE405" s="169"/>
      <c r="AF405" s="169"/>
      <c r="AG405" s="169"/>
      <c r="AH405" s="169"/>
      <c r="AI405" s="169"/>
      <c r="AJ405" s="169"/>
      <c r="AK405" s="169"/>
      <c r="AL405" s="169"/>
      <c r="AM405" s="169"/>
      <c r="AN405" s="169"/>
      <c r="AO405" s="169"/>
      <c r="AP405" s="169"/>
    </row>
    <row r="406" spans="5:42" x14ac:dyDescent="0.2">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c r="AA406" s="169"/>
      <c r="AB406" s="169"/>
      <c r="AC406" s="169"/>
      <c r="AD406" s="169"/>
      <c r="AE406" s="169"/>
      <c r="AF406" s="169"/>
      <c r="AG406" s="169"/>
      <c r="AH406" s="169"/>
      <c r="AI406" s="169"/>
      <c r="AJ406" s="169"/>
      <c r="AK406" s="169"/>
      <c r="AL406" s="169"/>
      <c r="AM406" s="169"/>
      <c r="AN406" s="169"/>
      <c r="AO406" s="169"/>
      <c r="AP406" s="169"/>
    </row>
    <row r="407" spans="5:42" x14ac:dyDescent="0.2">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c r="AA407" s="169"/>
      <c r="AB407" s="169"/>
      <c r="AC407" s="169"/>
      <c r="AD407" s="169"/>
      <c r="AE407" s="169"/>
      <c r="AF407" s="169"/>
      <c r="AG407" s="169"/>
      <c r="AH407" s="169"/>
      <c r="AI407" s="169"/>
      <c r="AJ407" s="169"/>
      <c r="AK407" s="169"/>
      <c r="AL407" s="169"/>
      <c r="AM407" s="169"/>
      <c r="AN407" s="169"/>
      <c r="AO407" s="169"/>
      <c r="AP407" s="169"/>
    </row>
    <row r="408" spans="5:42" x14ac:dyDescent="0.2">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c r="AA408" s="169"/>
      <c r="AB408" s="169"/>
      <c r="AC408" s="169"/>
      <c r="AD408" s="169"/>
      <c r="AE408" s="169"/>
      <c r="AF408" s="169"/>
      <c r="AG408" s="169"/>
      <c r="AH408" s="169"/>
      <c r="AI408" s="169"/>
      <c r="AJ408" s="169"/>
      <c r="AK408" s="169"/>
      <c r="AL408" s="169"/>
      <c r="AM408" s="169"/>
      <c r="AN408" s="169"/>
      <c r="AO408" s="169"/>
      <c r="AP408" s="169"/>
    </row>
    <row r="409" spans="5:42" x14ac:dyDescent="0.2">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c r="AA409" s="169"/>
      <c r="AB409" s="169"/>
      <c r="AC409" s="169"/>
      <c r="AD409" s="169"/>
      <c r="AE409" s="169"/>
      <c r="AF409" s="169"/>
      <c r="AG409" s="169"/>
      <c r="AH409" s="169"/>
      <c r="AI409" s="169"/>
      <c r="AJ409" s="169"/>
      <c r="AK409" s="169"/>
      <c r="AL409" s="169"/>
      <c r="AM409" s="169"/>
      <c r="AN409" s="169"/>
      <c r="AO409" s="169"/>
      <c r="AP409" s="169"/>
    </row>
    <row r="410" spans="5:42" x14ac:dyDescent="0.2">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c r="AA410" s="169"/>
      <c r="AB410" s="169"/>
      <c r="AC410" s="169"/>
      <c r="AD410" s="169"/>
      <c r="AE410" s="169"/>
      <c r="AF410" s="169"/>
      <c r="AG410" s="169"/>
      <c r="AH410" s="169"/>
      <c r="AI410" s="169"/>
      <c r="AJ410" s="169"/>
      <c r="AK410" s="169"/>
      <c r="AL410" s="169"/>
      <c r="AM410" s="169"/>
      <c r="AN410" s="169"/>
      <c r="AO410" s="169"/>
      <c r="AP410" s="169"/>
    </row>
    <row r="411" spans="5:42" x14ac:dyDescent="0.2">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c r="AA411" s="169"/>
      <c r="AB411" s="169"/>
      <c r="AC411" s="169"/>
      <c r="AD411" s="169"/>
      <c r="AE411" s="169"/>
      <c r="AF411" s="169"/>
      <c r="AG411" s="169"/>
      <c r="AH411" s="169"/>
      <c r="AI411" s="169"/>
      <c r="AJ411" s="169"/>
      <c r="AK411" s="169"/>
      <c r="AL411" s="169"/>
      <c r="AM411" s="169"/>
      <c r="AN411" s="169"/>
      <c r="AO411" s="169"/>
      <c r="AP411" s="169"/>
    </row>
    <row r="412" spans="5:42" x14ac:dyDescent="0.2">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c r="AA412" s="169"/>
      <c r="AB412" s="169"/>
      <c r="AC412" s="169"/>
      <c r="AD412" s="169"/>
      <c r="AE412" s="169"/>
      <c r="AF412" s="169"/>
      <c r="AG412" s="169"/>
      <c r="AH412" s="169"/>
      <c r="AI412" s="169"/>
      <c r="AJ412" s="169"/>
      <c r="AK412" s="169"/>
      <c r="AL412" s="169"/>
      <c r="AM412" s="169"/>
      <c r="AN412" s="169"/>
      <c r="AO412" s="169"/>
      <c r="AP412" s="169"/>
    </row>
    <row r="413" spans="5:42" x14ac:dyDescent="0.2">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c r="AA413" s="169"/>
      <c r="AB413" s="169"/>
      <c r="AC413" s="169"/>
      <c r="AD413" s="169"/>
      <c r="AE413" s="169"/>
      <c r="AF413" s="169"/>
      <c r="AG413" s="169"/>
      <c r="AH413" s="169"/>
      <c r="AI413" s="169"/>
      <c r="AJ413" s="169"/>
      <c r="AK413" s="169"/>
      <c r="AL413" s="169"/>
      <c r="AM413" s="169"/>
      <c r="AN413" s="169"/>
      <c r="AO413" s="169"/>
      <c r="AP413" s="169"/>
    </row>
    <row r="414" spans="5:42" x14ac:dyDescent="0.2">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c r="AA414" s="169"/>
      <c r="AB414" s="169"/>
      <c r="AC414" s="169"/>
      <c r="AD414" s="169"/>
      <c r="AE414" s="169"/>
      <c r="AF414" s="169"/>
      <c r="AG414" s="169"/>
      <c r="AH414" s="169"/>
      <c r="AI414" s="169"/>
      <c r="AJ414" s="169"/>
      <c r="AK414" s="169"/>
      <c r="AL414" s="169"/>
      <c r="AM414" s="169"/>
      <c r="AN414" s="169"/>
      <c r="AO414" s="169"/>
      <c r="AP414" s="169"/>
    </row>
    <row r="415" spans="5:42" x14ac:dyDescent="0.2">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c r="AA415" s="169"/>
      <c r="AB415" s="169"/>
      <c r="AC415" s="169"/>
      <c r="AD415" s="169"/>
      <c r="AE415" s="169"/>
      <c r="AF415" s="169"/>
      <c r="AG415" s="169"/>
      <c r="AH415" s="169"/>
      <c r="AI415" s="169"/>
      <c r="AJ415" s="169"/>
      <c r="AK415" s="169"/>
      <c r="AL415" s="169"/>
      <c r="AM415" s="169"/>
      <c r="AN415" s="169"/>
      <c r="AO415" s="169"/>
      <c r="AP415" s="169"/>
    </row>
    <row r="416" spans="5:42" x14ac:dyDescent="0.2">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c r="AA416" s="169"/>
      <c r="AB416" s="169"/>
      <c r="AC416" s="169"/>
      <c r="AD416" s="169"/>
      <c r="AE416" s="169"/>
      <c r="AF416" s="169"/>
      <c r="AG416" s="169"/>
      <c r="AH416" s="169"/>
      <c r="AI416" s="169"/>
      <c r="AJ416" s="169"/>
      <c r="AK416" s="169"/>
      <c r="AL416" s="169"/>
      <c r="AM416" s="169"/>
      <c r="AN416" s="169"/>
      <c r="AO416" s="169"/>
      <c r="AP416" s="169"/>
    </row>
    <row r="417" spans="5:42" x14ac:dyDescent="0.2">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c r="AA417" s="169"/>
      <c r="AB417" s="169"/>
      <c r="AC417" s="169"/>
      <c r="AD417" s="169"/>
      <c r="AE417" s="169"/>
      <c r="AF417" s="169"/>
      <c r="AG417" s="169"/>
      <c r="AH417" s="169"/>
      <c r="AI417" s="169"/>
      <c r="AJ417" s="169"/>
      <c r="AK417" s="169"/>
      <c r="AL417" s="169"/>
      <c r="AM417" s="169"/>
      <c r="AN417" s="169"/>
      <c r="AO417" s="169"/>
      <c r="AP417" s="169"/>
    </row>
    <row r="418" spans="5:42" x14ac:dyDescent="0.2">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c r="AA418" s="169"/>
      <c r="AB418" s="169"/>
      <c r="AC418" s="169"/>
      <c r="AD418" s="169"/>
      <c r="AE418" s="169"/>
      <c r="AF418" s="169"/>
      <c r="AG418" s="169"/>
      <c r="AH418" s="169"/>
      <c r="AI418" s="169"/>
      <c r="AJ418" s="169"/>
      <c r="AK418" s="169"/>
      <c r="AL418" s="169"/>
      <c r="AM418" s="169"/>
      <c r="AN418" s="169"/>
      <c r="AO418" s="169"/>
      <c r="AP418" s="169"/>
    </row>
    <row r="419" spans="5:42" x14ac:dyDescent="0.2">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c r="AA419" s="169"/>
      <c r="AB419" s="169"/>
      <c r="AC419" s="169"/>
      <c r="AD419" s="169"/>
      <c r="AE419" s="169"/>
      <c r="AF419" s="169"/>
      <c r="AG419" s="169"/>
      <c r="AH419" s="169"/>
      <c r="AI419" s="169"/>
      <c r="AJ419" s="169"/>
      <c r="AK419" s="169"/>
      <c r="AL419" s="169"/>
      <c r="AM419" s="169"/>
      <c r="AN419" s="169"/>
      <c r="AO419" s="169"/>
      <c r="AP419" s="169"/>
    </row>
    <row r="420" spans="5:42" x14ac:dyDescent="0.2">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c r="AA420" s="169"/>
      <c r="AB420" s="169"/>
      <c r="AC420" s="169"/>
      <c r="AD420" s="169"/>
      <c r="AE420" s="169"/>
      <c r="AF420" s="169"/>
      <c r="AG420" s="169"/>
      <c r="AH420" s="169"/>
      <c r="AI420" s="169"/>
      <c r="AJ420" s="169"/>
      <c r="AK420" s="169"/>
      <c r="AL420" s="169"/>
      <c r="AM420" s="169"/>
      <c r="AN420" s="169"/>
      <c r="AO420" s="169"/>
      <c r="AP420" s="169"/>
    </row>
    <row r="421" spans="5:42" x14ac:dyDescent="0.2">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c r="AA421" s="169"/>
      <c r="AB421" s="169"/>
      <c r="AC421" s="169"/>
      <c r="AD421" s="169"/>
      <c r="AE421" s="169"/>
      <c r="AF421" s="169"/>
      <c r="AG421" s="169"/>
      <c r="AH421" s="169"/>
      <c r="AI421" s="169"/>
      <c r="AJ421" s="169"/>
      <c r="AK421" s="169"/>
      <c r="AL421" s="169"/>
      <c r="AM421" s="169"/>
      <c r="AN421" s="169"/>
      <c r="AO421" s="169"/>
      <c r="AP421" s="169"/>
    </row>
    <row r="422" spans="5:42" x14ac:dyDescent="0.2">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c r="AA422" s="169"/>
      <c r="AB422" s="169"/>
      <c r="AC422" s="169"/>
      <c r="AD422" s="169"/>
      <c r="AE422" s="169"/>
      <c r="AF422" s="169"/>
      <c r="AG422" s="169"/>
      <c r="AH422" s="169"/>
      <c r="AI422" s="169"/>
      <c r="AJ422" s="169"/>
      <c r="AK422" s="169"/>
      <c r="AL422" s="169"/>
      <c r="AM422" s="169"/>
      <c r="AN422" s="169"/>
      <c r="AO422" s="169"/>
      <c r="AP422" s="169"/>
    </row>
    <row r="423" spans="5:42" x14ac:dyDescent="0.2">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c r="AA423" s="169"/>
      <c r="AB423" s="169"/>
      <c r="AC423" s="169"/>
      <c r="AD423" s="169"/>
      <c r="AE423" s="169"/>
      <c r="AF423" s="169"/>
      <c r="AG423" s="169"/>
      <c r="AH423" s="169"/>
      <c r="AI423" s="169"/>
      <c r="AJ423" s="169"/>
      <c r="AK423" s="169"/>
      <c r="AL423" s="169"/>
      <c r="AM423" s="169"/>
      <c r="AN423" s="169"/>
      <c r="AO423" s="169"/>
      <c r="AP423" s="169"/>
    </row>
    <row r="424" spans="5:42" x14ac:dyDescent="0.2">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c r="AA424" s="169"/>
      <c r="AB424" s="169"/>
      <c r="AC424" s="169"/>
      <c r="AD424" s="169"/>
      <c r="AE424" s="169"/>
      <c r="AF424" s="169"/>
      <c r="AG424" s="169"/>
      <c r="AH424" s="169"/>
      <c r="AI424" s="169"/>
      <c r="AJ424" s="169"/>
      <c r="AK424" s="169"/>
      <c r="AL424" s="169"/>
      <c r="AM424" s="169"/>
      <c r="AN424" s="169"/>
      <c r="AO424" s="169"/>
      <c r="AP424" s="169"/>
    </row>
    <row r="425" spans="5:42" x14ac:dyDescent="0.2">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c r="AA425" s="169"/>
      <c r="AB425" s="169"/>
      <c r="AC425" s="169"/>
      <c r="AD425" s="169"/>
      <c r="AE425" s="169"/>
      <c r="AF425" s="169"/>
      <c r="AG425" s="169"/>
      <c r="AH425" s="169"/>
      <c r="AI425" s="169"/>
      <c r="AJ425" s="169"/>
      <c r="AK425" s="169"/>
      <c r="AL425" s="169"/>
      <c r="AM425" s="169"/>
      <c r="AN425" s="169"/>
      <c r="AO425" s="169"/>
      <c r="AP425" s="169"/>
    </row>
    <row r="426" spans="5:42" x14ac:dyDescent="0.2">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c r="AA426" s="169"/>
      <c r="AB426" s="169"/>
      <c r="AC426" s="169"/>
      <c r="AD426" s="169"/>
      <c r="AE426" s="169"/>
      <c r="AF426" s="169"/>
      <c r="AG426" s="169"/>
      <c r="AH426" s="169"/>
      <c r="AI426" s="169"/>
      <c r="AJ426" s="169"/>
      <c r="AK426" s="169"/>
      <c r="AL426" s="169"/>
      <c r="AM426" s="169"/>
      <c r="AN426" s="169"/>
      <c r="AO426" s="169"/>
      <c r="AP426" s="169"/>
    </row>
    <row r="427" spans="5:42" x14ac:dyDescent="0.2">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c r="AA427" s="169"/>
      <c r="AB427" s="169"/>
      <c r="AC427" s="169"/>
      <c r="AD427" s="169"/>
      <c r="AE427" s="169"/>
      <c r="AF427" s="169"/>
      <c r="AG427" s="169"/>
      <c r="AH427" s="169"/>
      <c r="AI427" s="169"/>
      <c r="AJ427" s="169"/>
      <c r="AK427" s="169"/>
      <c r="AL427" s="169"/>
      <c r="AM427" s="169"/>
      <c r="AN427" s="169"/>
      <c r="AO427" s="169"/>
      <c r="AP427" s="169"/>
    </row>
    <row r="428" spans="5:42" x14ac:dyDescent="0.2">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c r="AA428" s="169"/>
      <c r="AB428" s="169"/>
      <c r="AC428" s="169"/>
      <c r="AD428" s="169"/>
      <c r="AE428" s="169"/>
      <c r="AF428" s="169"/>
      <c r="AG428" s="169"/>
      <c r="AH428" s="169"/>
      <c r="AI428" s="169"/>
      <c r="AJ428" s="169"/>
      <c r="AK428" s="169"/>
      <c r="AL428" s="169"/>
      <c r="AM428" s="169"/>
      <c r="AN428" s="169"/>
      <c r="AO428" s="169"/>
      <c r="AP428" s="169"/>
    </row>
    <row r="429" spans="5:42" x14ac:dyDescent="0.2">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c r="AA429" s="169"/>
      <c r="AB429" s="169"/>
      <c r="AC429" s="169"/>
      <c r="AD429" s="169"/>
      <c r="AE429" s="169"/>
      <c r="AF429" s="169"/>
      <c r="AG429" s="169"/>
      <c r="AH429" s="169"/>
      <c r="AI429" s="169"/>
      <c r="AJ429" s="169"/>
      <c r="AK429" s="169"/>
      <c r="AL429" s="169"/>
      <c r="AM429" s="169"/>
      <c r="AN429" s="169"/>
      <c r="AO429" s="169"/>
      <c r="AP429" s="169"/>
    </row>
    <row r="430" spans="5:42" x14ac:dyDescent="0.2">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c r="AA430" s="169"/>
      <c r="AB430" s="169"/>
      <c r="AC430" s="169"/>
      <c r="AD430" s="169"/>
      <c r="AE430" s="169"/>
      <c r="AF430" s="169"/>
      <c r="AG430" s="169"/>
      <c r="AH430" s="169"/>
      <c r="AI430" s="169"/>
      <c r="AJ430" s="169"/>
      <c r="AK430" s="169"/>
      <c r="AL430" s="169"/>
      <c r="AM430" s="169"/>
      <c r="AN430" s="169"/>
      <c r="AO430" s="169"/>
      <c r="AP430" s="169"/>
    </row>
    <row r="431" spans="5:42" x14ac:dyDescent="0.2">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c r="AA431" s="169"/>
      <c r="AB431" s="169"/>
      <c r="AC431" s="169"/>
      <c r="AD431" s="169"/>
      <c r="AE431" s="169"/>
      <c r="AF431" s="169"/>
      <c r="AG431" s="169"/>
      <c r="AH431" s="169"/>
      <c r="AI431" s="169"/>
      <c r="AJ431" s="169"/>
      <c r="AK431" s="169"/>
      <c r="AL431" s="169"/>
      <c r="AM431" s="169"/>
      <c r="AN431" s="169"/>
      <c r="AO431" s="169"/>
      <c r="AP431" s="169"/>
    </row>
    <row r="432" spans="5:42" x14ac:dyDescent="0.2">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c r="AA432" s="169"/>
      <c r="AB432" s="169"/>
      <c r="AC432" s="169"/>
      <c r="AD432" s="169"/>
      <c r="AE432" s="169"/>
      <c r="AF432" s="169"/>
      <c r="AG432" s="169"/>
      <c r="AH432" s="169"/>
      <c r="AI432" s="169"/>
      <c r="AJ432" s="169"/>
      <c r="AK432" s="169"/>
      <c r="AL432" s="169"/>
      <c r="AM432" s="169"/>
      <c r="AN432" s="169"/>
      <c r="AO432" s="169"/>
      <c r="AP432" s="169"/>
    </row>
    <row r="433" spans="5:42" x14ac:dyDescent="0.2">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c r="AA433" s="169"/>
      <c r="AB433" s="169"/>
      <c r="AC433" s="169"/>
      <c r="AD433" s="169"/>
      <c r="AE433" s="169"/>
      <c r="AF433" s="169"/>
      <c r="AG433" s="169"/>
      <c r="AH433" s="169"/>
      <c r="AI433" s="169"/>
      <c r="AJ433" s="169"/>
      <c r="AK433" s="169"/>
      <c r="AL433" s="169"/>
      <c r="AM433" s="169"/>
      <c r="AN433" s="169"/>
      <c r="AO433" s="169"/>
      <c r="AP433" s="169"/>
    </row>
    <row r="434" spans="5:42" x14ac:dyDescent="0.2">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c r="AA434" s="169"/>
      <c r="AB434" s="169"/>
      <c r="AC434" s="169"/>
      <c r="AD434" s="169"/>
      <c r="AE434" s="169"/>
      <c r="AF434" s="169"/>
      <c r="AG434" s="169"/>
      <c r="AH434" s="169"/>
      <c r="AI434" s="169"/>
      <c r="AJ434" s="169"/>
      <c r="AK434" s="169"/>
      <c r="AL434" s="169"/>
      <c r="AM434" s="169"/>
      <c r="AN434" s="169"/>
      <c r="AO434" s="169"/>
      <c r="AP434" s="169"/>
    </row>
    <row r="435" spans="5:42" x14ac:dyDescent="0.2">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c r="AA435" s="169"/>
      <c r="AB435" s="169"/>
      <c r="AC435" s="169"/>
      <c r="AD435" s="169"/>
      <c r="AE435" s="169"/>
      <c r="AF435" s="169"/>
      <c r="AG435" s="169"/>
      <c r="AH435" s="169"/>
      <c r="AI435" s="169"/>
      <c r="AJ435" s="169"/>
      <c r="AK435" s="169"/>
      <c r="AL435" s="169"/>
      <c r="AM435" s="169"/>
      <c r="AN435" s="169"/>
      <c r="AO435" s="169"/>
      <c r="AP435" s="169"/>
    </row>
    <row r="436" spans="5:42" x14ac:dyDescent="0.2">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c r="AC436" s="169"/>
      <c r="AD436" s="169"/>
      <c r="AE436" s="169"/>
      <c r="AF436" s="169"/>
      <c r="AG436" s="169"/>
      <c r="AH436" s="169"/>
      <c r="AI436" s="169"/>
      <c r="AJ436" s="169"/>
      <c r="AK436" s="169"/>
      <c r="AL436" s="169"/>
      <c r="AM436" s="169"/>
      <c r="AN436" s="169"/>
      <c r="AO436" s="169"/>
      <c r="AP436" s="169"/>
    </row>
    <row r="437" spans="5:42" x14ac:dyDescent="0.2">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c r="AA437" s="169"/>
      <c r="AB437" s="169"/>
      <c r="AC437" s="169"/>
      <c r="AD437" s="169"/>
      <c r="AE437" s="169"/>
      <c r="AF437" s="169"/>
      <c r="AG437" s="169"/>
      <c r="AH437" s="169"/>
      <c r="AI437" s="169"/>
      <c r="AJ437" s="169"/>
      <c r="AK437" s="169"/>
      <c r="AL437" s="169"/>
      <c r="AM437" s="169"/>
      <c r="AN437" s="169"/>
      <c r="AO437" s="169"/>
      <c r="AP437" s="169"/>
    </row>
    <row r="438" spans="5:42" x14ac:dyDescent="0.2">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c r="AC438" s="169"/>
      <c r="AD438" s="169"/>
      <c r="AE438" s="169"/>
      <c r="AF438" s="169"/>
      <c r="AG438" s="169"/>
      <c r="AH438" s="169"/>
      <c r="AI438" s="169"/>
      <c r="AJ438" s="169"/>
      <c r="AK438" s="169"/>
      <c r="AL438" s="169"/>
      <c r="AM438" s="169"/>
      <c r="AN438" s="169"/>
      <c r="AO438" s="169"/>
      <c r="AP438" s="169"/>
    </row>
    <row r="439" spans="5:42" x14ac:dyDescent="0.2">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c r="AA439" s="169"/>
      <c r="AB439" s="169"/>
      <c r="AC439" s="169"/>
      <c r="AD439" s="169"/>
      <c r="AE439" s="169"/>
      <c r="AF439" s="169"/>
      <c r="AG439" s="169"/>
      <c r="AH439" s="169"/>
      <c r="AI439" s="169"/>
      <c r="AJ439" s="169"/>
      <c r="AK439" s="169"/>
      <c r="AL439" s="169"/>
      <c r="AM439" s="169"/>
      <c r="AN439" s="169"/>
      <c r="AO439" s="169"/>
      <c r="AP439" s="169"/>
    </row>
    <row r="440" spans="5:42" x14ac:dyDescent="0.2">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c r="AA440" s="169"/>
      <c r="AB440" s="169"/>
      <c r="AC440" s="169"/>
      <c r="AD440" s="169"/>
      <c r="AE440" s="169"/>
      <c r="AF440" s="169"/>
      <c r="AG440" s="169"/>
      <c r="AH440" s="169"/>
      <c r="AI440" s="169"/>
      <c r="AJ440" s="169"/>
      <c r="AK440" s="169"/>
      <c r="AL440" s="169"/>
      <c r="AM440" s="169"/>
      <c r="AN440" s="169"/>
      <c r="AO440" s="169"/>
      <c r="AP440" s="169"/>
    </row>
    <row r="441" spans="5:42" x14ac:dyDescent="0.2">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c r="AA441" s="169"/>
      <c r="AB441" s="169"/>
      <c r="AC441" s="169"/>
      <c r="AD441" s="169"/>
      <c r="AE441" s="169"/>
      <c r="AF441" s="169"/>
      <c r="AG441" s="169"/>
      <c r="AH441" s="169"/>
      <c r="AI441" s="169"/>
      <c r="AJ441" s="169"/>
      <c r="AK441" s="169"/>
      <c r="AL441" s="169"/>
      <c r="AM441" s="169"/>
      <c r="AN441" s="169"/>
      <c r="AO441" s="169"/>
      <c r="AP441" s="169"/>
    </row>
    <row r="442" spans="5:42" x14ac:dyDescent="0.2">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c r="AA442" s="169"/>
      <c r="AB442" s="169"/>
      <c r="AC442" s="169"/>
      <c r="AD442" s="169"/>
      <c r="AE442" s="169"/>
      <c r="AF442" s="169"/>
      <c r="AG442" s="169"/>
      <c r="AH442" s="169"/>
      <c r="AI442" s="169"/>
      <c r="AJ442" s="169"/>
      <c r="AK442" s="169"/>
      <c r="AL442" s="169"/>
      <c r="AM442" s="169"/>
      <c r="AN442" s="169"/>
      <c r="AO442" s="169"/>
      <c r="AP442" s="169"/>
    </row>
    <row r="443" spans="5:42" x14ac:dyDescent="0.2">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c r="AA443" s="169"/>
      <c r="AB443" s="169"/>
      <c r="AC443" s="169"/>
      <c r="AD443" s="169"/>
      <c r="AE443" s="169"/>
      <c r="AF443" s="169"/>
      <c r="AG443" s="169"/>
      <c r="AH443" s="169"/>
      <c r="AI443" s="169"/>
      <c r="AJ443" s="169"/>
      <c r="AK443" s="169"/>
      <c r="AL443" s="169"/>
      <c r="AM443" s="169"/>
      <c r="AN443" s="169"/>
      <c r="AO443" s="169"/>
      <c r="AP443" s="169"/>
    </row>
    <row r="444" spans="5:42" x14ac:dyDescent="0.2">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c r="AA444" s="169"/>
      <c r="AB444" s="169"/>
      <c r="AC444" s="169"/>
      <c r="AD444" s="169"/>
      <c r="AE444" s="169"/>
      <c r="AF444" s="169"/>
      <c r="AG444" s="169"/>
      <c r="AH444" s="169"/>
      <c r="AI444" s="169"/>
      <c r="AJ444" s="169"/>
      <c r="AK444" s="169"/>
      <c r="AL444" s="169"/>
      <c r="AM444" s="169"/>
      <c r="AN444" s="169"/>
      <c r="AO444" s="169"/>
      <c r="AP444" s="169"/>
    </row>
    <row r="445" spans="5:42" x14ac:dyDescent="0.2">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c r="AA445" s="169"/>
      <c r="AB445" s="169"/>
      <c r="AC445" s="169"/>
      <c r="AD445" s="169"/>
      <c r="AE445" s="169"/>
      <c r="AF445" s="169"/>
      <c r="AG445" s="169"/>
      <c r="AH445" s="169"/>
      <c r="AI445" s="169"/>
      <c r="AJ445" s="169"/>
      <c r="AK445" s="169"/>
      <c r="AL445" s="169"/>
      <c r="AM445" s="169"/>
      <c r="AN445" s="169"/>
      <c r="AO445" s="169"/>
      <c r="AP445" s="169"/>
    </row>
    <row r="446" spans="5:42" x14ac:dyDescent="0.2">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c r="AA446" s="169"/>
      <c r="AB446" s="169"/>
      <c r="AC446" s="169"/>
      <c r="AD446" s="169"/>
      <c r="AE446" s="169"/>
      <c r="AF446" s="169"/>
      <c r="AG446" s="169"/>
      <c r="AH446" s="169"/>
      <c r="AI446" s="169"/>
      <c r="AJ446" s="169"/>
      <c r="AK446" s="169"/>
      <c r="AL446" s="169"/>
      <c r="AM446" s="169"/>
      <c r="AN446" s="169"/>
      <c r="AO446" s="169"/>
      <c r="AP446" s="169"/>
    </row>
    <row r="447" spans="5:42" x14ac:dyDescent="0.2">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c r="AA447" s="169"/>
      <c r="AB447" s="169"/>
      <c r="AC447" s="169"/>
      <c r="AD447" s="169"/>
      <c r="AE447" s="169"/>
      <c r="AF447" s="169"/>
      <c r="AG447" s="169"/>
      <c r="AH447" s="169"/>
      <c r="AI447" s="169"/>
      <c r="AJ447" s="169"/>
      <c r="AK447" s="169"/>
      <c r="AL447" s="169"/>
      <c r="AM447" s="169"/>
      <c r="AN447" s="169"/>
      <c r="AO447" s="169"/>
      <c r="AP447" s="169"/>
    </row>
    <row r="448" spans="5:42" x14ac:dyDescent="0.2">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c r="AA448" s="169"/>
      <c r="AB448" s="169"/>
      <c r="AC448" s="169"/>
      <c r="AD448" s="169"/>
      <c r="AE448" s="169"/>
      <c r="AF448" s="169"/>
      <c r="AG448" s="169"/>
      <c r="AH448" s="169"/>
      <c r="AI448" s="169"/>
      <c r="AJ448" s="169"/>
      <c r="AK448" s="169"/>
      <c r="AL448" s="169"/>
      <c r="AM448" s="169"/>
      <c r="AN448" s="169"/>
      <c r="AO448" s="169"/>
      <c r="AP448" s="169"/>
    </row>
    <row r="449" spans="5:42" x14ac:dyDescent="0.2">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c r="AA449" s="169"/>
      <c r="AB449" s="169"/>
      <c r="AC449" s="169"/>
      <c r="AD449" s="169"/>
      <c r="AE449" s="169"/>
      <c r="AF449" s="169"/>
      <c r="AG449" s="169"/>
      <c r="AH449" s="169"/>
      <c r="AI449" s="169"/>
      <c r="AJ449" s="169"/>
      <c r="AK449" s="169"/>
      <c r="AL449" s="169"/>
      <c r="AM449" s="169"/>
      <c r="AN449" s="169"/>
      <c r="AO449" s="169"/>
      <c r="AP449" s="169"/>
    </row>
    <row r="450" spans="5:42" x14ac:dyDescent="0.2">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c r="AA450" s="169"/>
      <c r="AB450" s="169"/>
      <c r="AC450" s="169"/>
      <c r="AD450" s="169"/>
      <c r="AE450" s="169"/>
      <c r="AF450" s="169"/>
      <c r="AG450" s="169"/>
      <c r="AH450" s="169"/>
      <c r="AI450" s="169"/>
      <c r="AJ450" s="169"/>
      <c r="AK450" s="169"/>
      <c r="AL450" s="169"/>
      <c r="AM450" s="169"/>
      <c r="AN450" s="169"/>
      <c r="AO450" s="169"/>
      <c r="AP450" s="169"/>
    </row>
    <row r="451" spans="5:42" x14ac:dyDescent="0.2">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c r="AA451" s="169"/>
      <c r="AB451" s="169"/>
      <c r="AC451" s="169"/>
      <c r="AD451" s="169"/>
      <c r="AE451" s="169"/>
      <c r="AF451" s="169"/>
      <c r="AG451" s="169"/>
      <c r="AH451" s="169"/>
      <c r="AI451" s="169"/>
      <c r="AJ451" s="169"/>
      <c r="AK451" s="169"/>
      <c r="AL451" s="169"/>
      <c r="AM451" s="169"/>
      <c r="AN451" s="169"/>
      <c r="AO451" s="169"/>
      <c r="AP451" s="169"/>
    </row>
    <row r="452" spans="5:42" x14ac:dyDescent="0.2">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c r="AA452" s="169"/>
      <c r="AB452" s="169"/>
      <c r="AC452" s="169"/>
      <c r="AD452" s="169"/>
      <c r="AE452" s="169"/>
      <c r="AF452" s="169"/>
      <c r="AG452" s="169"/>
      <c r="AH452" s="169"/>
      <c r="AI452" s="169"/>
      <c r="AJ452" s="169"/>
      <c r="AK452" s="169"/>
      <c r="AL452" s="169"/>
      <c r="AM452" s="169"/>
      <c r="AN452" s="169"/>
      <c r="AO452" s="169"/>
      <c r="AP452" s="169"/>
    </row>
    <row r="453" spans="5:42" x14ac:dyDescent="0.2">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c r="AA453" s="169"/>
      <c r="AB453" s="169"/>
      <c r="AC453" s="169"/>
      <c r="AD453" s="169"/>
      <c r="AE453" s="169"/>
      <c r="AF453" s="169"/>
      <c r="AG453" s="169"/>
      <c r="AH453" s="169"/>
      <c r="AI453" s="169"/>
      <c r="AJ453" s="169"/>
      <c r="AK453" s="169"/>
      <c r="AL453" s="169"/>
      <c r="AM453" s="169"/>
      <c r="AN453" s="169"/>
      <c r="AO453" s="169"/>
      <c r="AP453" s="169"/>
    </row>
    <row r="454" spans="5:42" x14ac:dyDescent="0.2">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c r="AA454" s="169"/>
      <c r="AB454" s="169"/>
      <c r="AC454" s="169"/>
      <c r="AD454" s="169"/>
      <c r="AE454" s="169"/>
      <c r="AF454" s="169"/>
      <c r="AG454" s="169"/>
      <c r="AH454" s="169"/>
      <c r="AI454" s="169"/>
      <c r="AJ454" s="169"/>
      <c r="AK454" s="169"/>
      <c r="AL454" s="169"/>
      <c r="AM454" s="169"/>
      <c r="AN454" s="169"/>
      <c r="AO454" s="169"/>
      <c r="AP454" s="169"/>
    </row>
    <row r="455" spans="5:42" x14ac:dyDescent="0.2">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c r="AA455" s="169"/>
      <c r="AB455" s="169"/>
      <c r="AC455" s="169"/>
      <c r="AD455" s="169"/>
      <c r="AE455" s="169"/>
      <c r="AF455" s="169"/>
      <c r="AG455" s="169"/>
      <c r="AH455" s="169"/>
      <c r="AI455" s="169"/>
      <c r="AJ455" s="169"/>
      <c r="AK455" s="169"/>
      <c r="AL455" s="169"/>
      <c r="AM455" s="169"/>
      <c r="AN455" s="169"/>
      <c r="AO455" s="169"/>
      <c r="AP455" s="169"/>
    </row>
    <row r="456" spans="5:42" x14ac:dyDescent="0.2">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c r="AA456" s="169"/>
      <c r="AB456" s="169"/>
      <c r="AC456" s="169"/>
      <c r="AD456" s="169"/>
      <c r="AE456" s="169"/>
      <c r="AF456" s="169"/>
      <c r="AG456" s="169"/>
      <c r="AH456" s="169"/>
      <c r="AI456" s="169"/>
      <c r="AJ456" s="169"/>
      <c r="AK456" s="169"/>
      <c r="AL456" s="169"/>
      <c r="AM456" s="169"/>
      <c r="AN456" s="169"/>
      <c r="AO456" s="169"/>
      <c r="AP456" s="169"/>
    </row>
    <row r="457" spans="5:42" x14ac:dyDescent="0.2">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c r="AA457" s="169"/>
      <c r="AB457" s="169"/>
      <c r="AC457" s="169"/>
      <c r="AD457" s="169"/>
      <c r="AE457" s="169"/>
      <c r="AF457" s="169"/>
      <c r="AG457" s="169"/>
      <c r="AH457" s="169"/>
      <c r="AI457" s="169"/>
      <c r="AJ457" s="169"/>
      <c r="AK457" s="169"/>
      <c r="AL457" s="169"/>
      <c r="AM457" s="169"/>
      <c r="AN457" s="169"/>
      <c r="AO457" s="169"/>
      <c r="AP457" s="169"/>
    </row>
    <row r="458" spans="5:42" x14ac:dyDescent="0.2">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c r="AA458" s="169"/>
      <c r="AB458" s="169"/>
      <c r="AC458" s="169"/>
      <c r="AD458" s="169"/>
      <c r="AE458" s="169"/>
      <c r="AF458" s="169"/>
      <c r="AG458" s="169"/>
      <c r="AH458" s="169"/>
      <c r="AI458" s="169"/>
      <c r="AJ458" s="169"/>
      <c r="AK458" s="169"/>
      <c r="AL458" s="169"/>
      <c r="AM458" s="169"/>
      <c r="AN458" s="169"/>
      <c r="AO458" s="169"/>
      <c r="AP458" s="169"/>
    </row>
    <row r="459" spans="5:42" x14ac:dyDescent="0.2">
      <c r="E459" s="169"/>
      <c r="F459" s="169"/>
      <c r="G459" s="169"/>
      <c r="H459" s="169"/>
      <c r="I459" s="169"/>
      <c r="J459" s="169"/>
      <c r="K459" s="169"/>
      <c r="L459" s="169"/>
      <c r="M459" s="169"/>
      <c r="N459" s="169"/>
      <c r="O459" s="169"/>
      <c r="P459" s="169"/>
      <c r="Q459" s="169"/>
      <c r="R459" s="169"/>
      <c r="S459" s="169"/>
      <c r="T459" s="169"/>
      <c r="U459" s="169"/>
      <c r="V459" s="169"/>
      <c r="W459" s="169"/>
      <c r="X459" s="169"/>
      <c r="Y459" s="169"/>
      <c r="Z459" s="169"/>
      <c r="AA459" s="169"/>
      <c r="AB459" s="169"/>
      <c r="AC459" s="169"/>
      <c r="AD459" s="169"/>
      <c r="AE459" s="169"/>
      <c r="AF459" s="169"/>
      <c r="AG459" s="169"/>
      <c r="AH459" s="169"/>
      <c r="AI459" s="169"/>
      <c r="AJ459" s="169"/>
      <c r="AK459" s="169"/>
      <c r="AL459" s="169"/>
      <c r="AM459" s="169"/>
      <c r="AN459" s="169"/>
      <c r="AO459" s="169"/>
      <c r="AP459" s="169"/>
    </row>
    <row r="460" spans="5:42" x14ac:dyDescent="0.2">
      <c r="E460" s="169"/>
      <c r="F460" s="169"/>
      <c r="G460" s="169"/>
      <c r="H460" s="169"/>
      <c r="I460" s="169"/>
      <c r="J460" s="169"/>
      <c r="K460" s="169"/>
      <c r="L460" s="169"/>
      <c r="M460" s="169"/>
      <c r="N460" s="169"/>
      <c r="O460" s="169"/>
      <c r="P460" s="169"/>
      <c r="Q460" s="169"/>
      <c r="R460" s="169"/>
      <c r="S460" s="169"/>
      <c r="T460" s="169"/>
      <c r="U460" s="169"/>
      <c r="V460" s="169"/>
      <c r="W460" s="169"/>
      <c r="X460" s="169"/>
      <c r="Y460" s="169"/>
      <c r="Z460" s="169"/>
      <c r="AA460" s="169"/>
      <c r="AB460" s="169"/>
      <c r="AC460" s="169"/>
      <c r="AD460" s="169"/>
      <c r="AE460" s="169"/>
      <c r="AF460" s="169"/>
      <c r="AG460" s="169"/>
      <c r="AH460" s="169"/>
      <c r="AI460" s="169"/>
      <c r="AJ460" s="169"/>
      <c r="AK460" s="169"/>
      <c r="AL460" s="169"/>
      <c r="AM460" s="169"/>
      <c r="AN460" s="169"/>
      <c r="AO460" s="169"/>
      <c r="AP460" s="169"/>
    </row>
    <row r="461" spans="5:42" x14ac:dyDescent="0.2">
      <c r="E461" s="169"/>
      <c r="F461" s="169"/>
      <c r="G461" s="169"/>
      <c r="H461" s="169"/>
      <c r="I461" s="169"/>
      <c r="J461" s="169"/>
      <c r="K461" s="169"/>
      <c r="L461" s="169"/>
      <c r="M461" s="169"/>
      <c r="N461" s="169"/>
      <c r="O461" s="169"/>
      <c r="P461" s="169"/>
      <c r="Q461" s="169"/>
      <c r="R461" s="169"/>
      <c r="S461" s="169"/>
      <c r="T461" s="169"/>
      <c r="U461" s="169"/>
      <c r="V461" s="169"/>
      <c r="W461" s="169"/>
      <c r="X461" s="169"/>
      <c r="Y461" s="169"/>
      <c r="Z461" s="169"/>
      <c r="AA461" s="169"/>
      <c r="AB461" s="169"/>
      <c r="AC461" s="169"/>
      <c r="AD461" s="169"/>
      <c r="AE461" s="169"/>
      <c r="AF461" s="169"/>
      <c r="AG461" s="169"/>
      <c r="AH461" s="169"/>
      <c r="AI461" s="169"/>
      <c r="AJ461" s="169"/>
      <c r="AK461" s="169"/>
      <c r="AL461" s="169"/>
      <c r="AM461" s="169"/>
      <c r="AN461" s="169"/>
      <c r="AO461" s="169"/>
      <c r="AP461" s="169"/>
    </row>
    <row r="462" spans="5:42" x14ac:dyDescent="0.2">
      <c r="E462" s="169"/>
      <c r="F462" s="169"/>
      <c r="G462" s="169"/>
      <c r="H462" s="169"/>
      <c r="I462" s="169"/>
      <c r="J462" s="169"/>
      <c r="K462" s="169"/>
      <c r="L462" s="169"/>
      <c r="M462" s="169"/>
      <c r="N462" s="169"/>
      <c r="O462" s="169"/>
      <c r="P462" s="169"/>
      <c r="Q462" s="169"/>
      <c r="R462" s="169"/>
      <c r="S462" s="169"/>
      <c r="T462" s="169"/>
      <c r="U462" s="169"/>
      <c r="V462" s="169"/>
      <c r="W462" s="169"/>
      <c r="X462" s="169"/>
      <c r="Y462" s="169"/>
      <c r="Z462" s="169"/>
      <c r="AA462" s="169"/>
      <c r="AB462" s="169"/>
      <c r="AC462" s="169"/>
      <c r="AD462" s="169"/>
      <c r="AE462" s="169"/>
      <c r="AF462" s="169"/>
      <c r="AG462" s="169"/>
      <c r="AH462" s="169"/>
      <c r="AI462" s="169"/>
      <c r="AJ462" s="169"/>
      <c r="AK462" s="169"/>
      <c r="AL462" s="169"/>
      <c r="AM462" s="169"/>
      <c r="AN462" s="169"/>
      <c r="AO462" s="169"/>
      <c r="AP462" s="169"/>
    </row>
    <row r="463" spans="5:42" x14ac:dyDescent="0.2">
      <c r="E463" s="169"/>
      <c r="F463" s="169"/>
      <c r="G463" s="169"/>
      <c r="H463" s="169"/>
      <c r="I463" s="169"/>
      <c r="J463" s="169"/>
      <c r="K463" s="169"/>
      <c r="L463" s="169"/>
      <c r="M463" s="169"/>
      <c r="N463" s="169"/>
      <c r="O463" s="169"/>
      <c r="P463" s="169"/>
      <c r="Q463" s="169"/>
      <c r="R463" s="169"/>
      <c r="S463" s="169"/>
      <c r="T463" s="169"/>
      <c r="U463" s="169"/>
      <c r="V463" s="169"/>
      <c r="W463" s="169"/>
      <c r="X463" s="169"/>
      <c r="Y463" s="169"/>
      <c r="Z463" s="169"/>
      <c r="AA463" s="169"/>
      <c r="AB463" s="169"/>
      <c r="AC463" s="169"/>
      <c r="AD463" s="169"/>
      <c r="AE463" s="169"/>
      <c r="AF463" s="169"/>
      <c r="AG463" s="169"/>
      <c r="AH463" s="169"/>
      <c r="AI463" s="169"/>
      <c r="AJ463" s="169"/>
      <c r="AK463" s="169"/>
      <c r="AL463" s="169"/>
      <c r="AM463" s="169"/>
      <c r="AN463" s="169"/>
      <c r="AO463" s="169"/>
      <c r="AP463" s="169"/>
    </row>
    <row r="464" spans="5:42" x14ac:dyDescent="0.2">
      <c r="E464" s="169"/>
      <c r="F464" s="169"/>
      <c r="G464" s="169"/>
      <c r="H464" s="169"/>
      <c r="I464" s="169"/>
      <c r="J464" s="169"/>
      <c r="K464" s="169"/>
      <c r="L464" s="169"/>
      <c r="M464" s="169"/>
      <c r="N464" s="169"/>
      <c r="O464" s="169"/>
      <c r="P464" s="169"/>
      <c r="Q464" s="169"/>
      <c r="R464" s="169"/>
      <c r="S464" s="169"/>
      <c r="T464" s="169"/>
      <c r="U464" s="169"/>
      <c r="V464" s="169"/>
      <c r="W464" s="169"/>
      <c r="X464" s="169"/>
      <c r="Y464" s="169"/>
      <c r="Z464" s="169"/>
      <c r="AA464" s="169"/>
      <c r="AB464" s="169"/>
      <c r="AC464" s="169"/>
      <c r="AD464" s="169"/>
      <c r="AE464" s="169"/>
      <c r="AF464" s="169"/>
      <c r="AG464" s="169"/>
      <c r="AH464" s="169"/>
      <c r="AI464" s="169"/>
      <c r="AJ464" s="169"/>
      <c r="AK464" s="169"/>
      <c r="AL464" s="169"/>
      <c r="AM464" s="169"/>
      <c r="AN464" s="169"/>
      <c r="AO464" s="169"/>
      <c r="AP464" s="169"/>
    </row>
    <row r="465" spans="5:42" x14ac:dyDescent="0.2">
      <c r="E465" s="169"/>
      <c r="F465" s="169"/>
      <c r="G465" s="169"/>
      <c r="H465" s="169"/>
      <c r="I465" s="169"/>
      <c r="J465" s="169"/>
      <c r="K465" s="169"/>
      <c r="L465" s="169"/>
      <c r="M465" s="169"/>
      <c r="N465" s="169"/>
      <c r="O465" s="169"/>
      <c r="P465" s="169"/>
      <c r="Q465" s="169"/>
      <c r="R465" s="169"/>
      <c r="S465" s="169"/>
      <c r="T465" s="169"/>
      <c r="U465" s="169"/>
      <c r="V465" s="169"/>
      <c r="W465" s="169"/>
      <c r="X465" s="169"/>
      <c r="Y465" s="169"/>
      <c r="Z465" s="169"/>
      <c r="AA465" s="169"/>
      <c r="AB465" s="169"/>
      <c r="AC465" s="169"/>
      <c r="AD465" s="169"/>
      <c r="AE465" s="169"/>
      <c r="AF465" s="169"/>
      <c r="AG465" s="169"/>
      <c r="AH465" s="169"/>
      <c r="AI465" s="169"/>
      <c r="AJ465" s="169"/>
      <c r="AK465" s="169"/>
      <c r="AL465" s="169"/>
      <c r="AM465" s="169"/>
      <c r="AN465" s="169"/>
      <c r="AO465" s="169"/>
      <c r="AP465" s="169"/>
    </row>
    <row r="466" spans="5:42" x14ac:dyDescent="0.2">
      <c r="E466" s="169"/>
      <c r="F466" s="169"/>
      <c r="G466" s="169"/>
      <c r="H466" s="169"/>
      <c r="I466" s="169"/>
      <c r="J466" s="169"/>
      <c r="K466" s="169"/>
      <c r="L466" s="169"/>
      <c r="M466" s="169"/>
      <c r="N466" s="169"/>
      <c r="O466" s="169"/>
      <c r="P466" s="169"/>
      <c r="Q466" s="169"/>
      <c r="R466" s="169"/>
      <c r="S466" s="169"/>
      <c r="T466" s="169"/>
      <c r="U466" s="169"/>
      <c r="V466" s="169"/>
      <c r="W466" s="169"/>
      <c r="X466" s="169"/>
      <c r="Y466" s="169"/>
      <c r="Z466" s="169"/>
      <c r="AA466" s="169"/>
      <c r="AB466" s="169"/>
      <c r="AC466" s="169"/>
      <c r="AD466" s="169"/>
      <c r="AE466" s="169"/>
      <c r="AF466" s="169"/>
      <c r="AG466" s="169"/>
      <c r="AH466" s="169"/>
      <c r="AI466" s="169"/>
      <c r="AJ466" s="169"/>
      <c r="AK466" s="169"/>
      <c r="AL466" s="169"/>
      <c r="AM466" s="169"/>
      <c r="AN466" s="169"/>
      <c r="AO466" s="169"/>
      <c r="AP466" s="169"/>
    </row>
    <row r="467" spans="5:42" x14ac:dyDescent="0.2">
      <c r="E467" s="169"/>
      <c r="F467" s="169"/>
      <c r="G467" s="169"/>
      <c r="H467" s="169"/>
      <c r="I467" s="169"/>
      <c r="J467" s="169"/>
      <c r="K467" s="169"/>
      <c r="L467" s="169"/>
      <c r="M467" s="169"/>
      <c r="N467" s="169"/>
      <c r="O467" s="169"/>
      <c r="P467" s="169"/>
      <c r="Q467" s="169"/>
      <c r="R467" s="169"/>
      <c r="S467" s="169"/>
      <c r="T467" s="169"/>
      <c r="U467" s="169"/>
      <c r="V467" s="169"/>
      <c r="W467" s="169"/>
      <c r="X467" s="169"/>
      <c r="Y467" s="169"/>
      <c r="Z467" s="169"/>
      <c r="AA467" s="169"/>
      <c r="AB467" s="169"/>
      <c r="AC467" s="169"/>
      <c r="AD467" s="169"/>
      <c r="AE467" s="169"/>
      <c r="AF467" s="169"/>
      <c r="AG467" s="169"/>
      <c r="AH467" s="169"/>
      <c r="AI467" s="169"/>
      <c r="AJ467" s="169"/>
      <c r="AK467" s="169"/>
      <c r="AL467" s="169"/>
      <c r="AM467" s="169"/>
      <c r="AN467" s="169"/>
      <c r="AO467" s="169"/>
      <c r="AP467" s="169"/>
    </row>
    <row r="468" spans="5:42" x14ac:dyDescent="0.2">
      <c r="E468" s="169"/>
      <c r="F468" s="169"/>
      <c r="G468" s="169"/>
      <c r="H468" s="169"/>
      <c r="I468" s="169"/>
      <c r="J468" s="169"/>
      <c r="K468" s="169"/>
      <c r="L468" s="169"/>
      <c r="M468" s="169"/>
      <c r="N468" s="169"/>
      <c r="O468" s="169"/>
      <c r="P468" s="169"/>
      <c r="Q468" s="169"/>
      <c r="R468" s="169"/>
      <c r="S468" s="169"/>
      <c r="T468" s="169"/>
      <c r="U468" s="169"/>
      <c r="V468" s="169"/>
      <c r="W468" s="169"/>
      <c r="X468" s="169"/>
      <c r="Y468" s="169"/>
      <c r="Z468" s="169"/>
      <c r="AA468" s="169"/>
      <c r="AB468" s="169"/>
      <c r="AC468" s="169"/>
      <c r="AD468" s="169"/>
      <c r="AE468" s="169"/>
      <c r="AF468" s="169"/>
      <c r="AG468" s="169"/>
      <c r="AH468" s="169"/>
      <c r="AI468" s="169"/>
      <c r="AJ468" s="169"/>
      <c r="AK468" s="169"/>
      <c r="AL468" s="169"/>
      <c r="AM468" s="169"/>
      <c r="AN468" s="169"/>
      <c r="AO468" s="169"/>
      <c r="AP468" s="169"/>
    </row>
    <row r="469" spans="5:42" x14ac:dyDescent="0.2">
      <c r="E469" s="169"/>
      <c r="F469" s="169"/>
      <c r="G469" s="169"/>
      <c r="H469" s="169"/>
      <c r="I469" s="169"/>
      <c r="J469" s="169"/>
      <c r="K469" s="169"/>
      <c r="L469" s="169"/>
      <c r="M469" s="169"/>
      <c r="N469" s="169"/>
      <c r="O469" s="169"/>
      <c r="P469" s="169"/>
      <c r="Q469" s="169"/>
      <c r="R469" s="169"/>
      <c r="S469" s="169"/>
      <c r="T469" s="169"/>
      <c r="U469" s="169"/>
      <c r="V469" s="169"/>
      <c r="W469" s="169"/>
      <c r="X469" s="169"/>
      <c r="Y469" s="169"/>
      <c r="Z469" s="169"/>
      <c r="AA469" s="169"/>
      <c r="AB469" s="169"/>
      <c r="AC469" s="169"/>
      <c r="AD469" s="169"/>
      <c r="AE469" s="169"/>
      <c r="AF469" s="169"/>
      <c r="AG469" s="169"/>
      <c r="AH469" s="169"/>
      <c r="AI469" s="169"/>
      <c r="AJ469" s="169"/>
      <c r="AK469" s="169"/>
      <c r="AL469" s="169"/>
      <c r="AM469" s="169"/>
      <c r="AN469" s="169"/>
      <c r="AO469" s="169"/>
      <c r="AP469" s="169"/>
    </row>
    <row r="470" spans="5:42" x14ac:dyDescent="0.2">
      <c r="E470" s="169"/>
      <c r="F470" s="169"/>
      <c r="G470" s="169"/>
      <c r="H470" s="169"/>
      <c r="I470" s="169"/>
      <c r="J470" s="169"/>
      <c r="K470" s="169"/>
      <c r="L470" s="169"/>
      <c r="M470" s="169"/>
      <c r="N470" s="169"/>
      <c r="O470" s="169"/>
      <c r="P470" s="169"/>
      <c r="Q470" s="169"/>
      <c r="R470" s="169"/>
      <c r="S470" s="169"/>
      <c r="T470" s="169"/>
      <c r="U470" s="169"/>
      <c r="V470" s="169"/>
      <c r="W470" s="169"/>
      <c r="X470" s="169"/>
      <c r="Y470" s="169"/>
      <c r="Z470" s="169"/>
      <c r="AA470" s="169"/>
      <c r="AB470" s="169"/>
      <c r="AC470" s="169"/>
      <c r="AD470" s="169"/>
      <c r="AE470" s="169"/>
      <c r="AF470" s="169"/>
      <c r="AG470" s="169"/>
      <c r="AH470" s="169"/>
      <c r="AI470" s="169"/>
      <c r="AJ470" s="169"/>
      <c r="AK470" s="169"/>
      <c r="AL470" s="169"/>
      <c r="AM470" s="169"/>
      <c r="AN470" s="169"/>
      <c r="AO470" s="169"/>
      <c r="AP470" s="169"/>
    </row>
    <row r="471" spans="5:42" x14ac:dyDescent="0.2">
      <c r="E471" s="169"/>
      <c r="F471" s="169"/>
      <c r="G471" s="169"/>
      <c r="H471" s="169"/>
      <c r="I471" s="169"/>
      <c r="J471" s="169"/>
      <c r="K471" s="169"/>
      <c r="L471" s="169"/>
      <c r="M471" s="169"/>
      <c r="N471" s="169"/>
      <c r="O471" s="169"/>
      <c r="P471" s="169"/>
      <c r="Q471" s="169"/>
      <c r="R471" s="169"/>
      <c r="S471" s="169"/>
      <c r="T471" s="169"/>
      <c r="U471" s="169"/>
      <c r="V471" s="169"/>
      <c r="W471" s="169"/>
      <c r="X471" s="169"/>
      <c r="Y471" s="169"/>
      <c r="Z471" s="169"/>
      <c r="AA471" s="169"/>
      <c r="AB471" s="169"/>
      <c r="AC471" s="169"/>
      <c r="AD471" s="169"/>
      <c r="AE471" s="169"/>
      <c r="AF471" s="169"/>
      <c r="AG471" s="169"/>
      <c r="AH471" s="169"/>
      <c r="AI471" s="169"/>
      <c r="AJ471" s="169"/>
      <c r="AK471" s="169"/>
      <c r="AL471" s="169"/>
      <c r="AM471" s="169"/>
      <c r="AN471" s="169"/>
      <c r="AO471" s="169"/>
      <c r="AP471" s="169"/>
    </row>
    <row r="472" spans="5:42" x14ac:dyDescent="0.2">
      <c r="E472" s="169"/>
      <c r="F472" s="169"/>
      <c r="G472" s="169"/>
      <c r="H472" s="169"/>
      <c r="I472" s="169"/>
      <c r="J472" s="169"/>
      <c r="K472" s="169"/>
      <c r="L472" s="169"/>
      <c r="M472" s="169"/>
      <c r="N472" s="169"/>
      <c r="O472" s="169"/>
      <c r="P472" s="169"/>
      <c r="Q472" s="169"/>
      <c r="R472" s="169"/>
      <c r="S472" s="169"/>
      <c r="T472" s="169"/>
      <c r="U472" s="169"/>
      <c r="V472" s="169"/>
      <c r="W472" s="169"/>
      <c r="X472" s="169"/>
      <c r="Y472" s="169"/>
      <c r="Z472" s="169"/>
      <c r="AA472" s="169"/>
      <c r="AB472" s="169"/>
      <c r="AC472" s="169"/>
      <c r="AD472" s="169"/>
      <c r="AE472" s="169"/>
      <c r="AF472" s="169"/>
      <c r="AG472" s="169"/>
      <c r="AH472" s="169"/>
      <c r="AI472" s="169"/>
      <c r="AJ472" s="169"/>
      <c r="AK472" s="169"/>
      <c r="AL472" s="169"/>
      <c r="AM472" s="169"/>
      <c r="AN472" s="169"/>
      <c r="AO472" s="169"/>
      <c r="AP472" s="169"/>
    </row>
    <row r="473" spans="5:42" x14ac:dyDescent="0.2">
      <c r="E473" s="169"/>
      <c r="F473" s="169"/>
      <c r="G473" s="169"/>
      <c r="H473" s="169"/>
      <c r="I473" s="169"/>
      <c r="J473" s="169"/>
      <c r="K473" s="169"/>
      <c r="L473" s="169"/>
      <c r="M473" s="169"/>
      <c r="N473" s="169"/>
      <c r="O473" s="169"/>
      <c r="P473" s="169"/>
      <c r="Q473" s="169"/>
      <c r="R473" s="169"/>
      <c r="S473" s="169"/>
      <c r="T473" s="169"/>
      <c r="U473" s="169"/>
      <c r="V473" s="169"/>
      <c r="W473" s="169"/>
      <c r="X473" s="169"/>
      <c r="Y473" s="169"/>
      <c r="Z473" s="169"/>
      <c r="AA473" s="169"/>
      <c r="AB473" s="169"/>
      <c r="AC473" s="169"/>
      <c r="AD473" s="169"/>
      <c r="AE473" s="169"/>
      <c r="AF473" s="169"/>
      <c r="AG473" s="169"/>
      <c r="AH473" s="169"/>
      <c r="AI473" s="169"/>
      <c r="AJ473" s="169"/>
      <c r="AK473" s="169"/>
      <c r="AL473" s="169"/>
      <c r="AM473" s="169"/>
      <c r="AN473" s="169"/>
      <c r="AO473" s="169"/>
      <c r="AP473" s="169"/>
    </row>
    <row r="474" spans="5:42" x14ac:dyDescent="0.2">
      <c r="E474" s="169"/>
      <c r="F474" s="169"/>
      <c r="G474" s="169"/>
      <c r="H474" s="169"/>
      <c r="I474" s="169"/>
      <c r="J474" s="169"/>
      <c r="K474" s="169"/>
      <c r="L474" s="169"/>
      <c r="M474" s="169"/>
      <c r="N474" s="169"/>
      <c r="O474" s="169"/>
      <c r="P474" s="169"/>
      <c r="Q474" s="169"/>
      <c r="R474" s="169"/>
      <c r="S474" s="169"/>
      <c r="T474" s="169"/>
      <c r="U474" s="169"/>
      <c r="V474" s="169"/>
      <c r="W474" s="169"/>
      <c r="X474" s="169"/>
      <c r="Y474" s="169"/>
      <c r="Z474" s="169"/>
      <c r="AA474" s="169"/>
      <c r="AB474" s="169"/>
      <c r="AC474" s="169"/>
      <c r="AD474" s="169"/>
      <c r="AE474" s="169"/>
      <c r="AF474" s="169"/>
      <c r="AG474" s="169"/>
      <c r="AH474" s="169"/>
      <c r="AI474" s="169"/>
      <c r="AJ474" s="169"/>
      <c r="AK474" s="169"/>
      <c r="AL474" s="169"/>
      <c r="AM474" s="169"/>
      <c r="AN474" s="169"/>
      <c r="AO474" s="169"/>
      <c r="AP474" s="169"/>
    </row>
    <row r="475" spans="5:42" x14ac:dyDescent="0.2">
      <c r="E475" s="169"/>
      <c r="F475" s="169"/>
      <c r="G475" s="169"/>
      <c r="H475" s="169"/>
      <c r="I475" s="169"/>
      <c r="J475" s="169"/>
      <c r="K475" s="169"/>
      <c r="L475" s="169"/>
      <c r="M475" s="169"/>
      <c r="N475" s="169"/>
      <c r="O475" s="169"/>
      <c r="P475" s="169"/>
      <c r="Q475" s="169"/>
      <c r="R475" s="169"/>
      <c r="S475" s="169"/>
      <c r="T475" s="169"/>
      <c r="U475" s="169"/>
      <c r="V475" s="169"/>
      <c r="W475" s="169"/>
      <c r="X475" s="169"/>
      <c r="Y475" s="169"/>
      <c r="Z475" s="169"/>
      <c r="AA475" s="169"/>
      <c r="AB475" s="169"/>
      <c r="AC475" s="169"/>
      <c r="AD475" s="169"/>
      <c r="AE475" s="169"/>
      <c r="AF475" s="169"/>
      <c r="AG475" s="169"/>
      <c r="AH475" s="169"/>
      <c r="AI475" s="169"/>
      <c r="AJ475" s="169"/>
      <c r="AK475" s="169"/>
      <c r="AL475" s="169"/>
      <c r="AM475" s="169"/>
      <c r="AN475" s="169"/>
      <c r="AO475" s="169"/>
      <c r="AP475" s="169"/>
    </row>
    <row r="476" spans="5:42" x14ac:dyDescent="0.2">
      <c r="E476" s="169"/>
      <c r="F476" s="169"/>
      <c r="G476" s="169"/>
      <c r="H476" s="169"/>
      <c r="I476" s="169"/>
      <c r="J476" s="169"/>
      <c r="K476" s="169"/>
      <c r="L476" s="169"/>
      <c r="M476" s="169"/>
      <c r="N476" s="169"/>
      <c r="O476" s="169"/>
      <c r="P476" s="169"/>
      <c r="Q476" s="169"/>
      <c r="R476" s="169"/>
      <c r="S476" s="169"/>
      <c r="T476" s="169"/>
      <c r="U476" s="169"/>
      <c r="V476" s="169"/>
      <c r="W476" s="169"/>
      <c r="X476" s="169"/>
      <c r="Y476" s="169"/>
      <c r="Z476" s="169"/>
      <c r="AA476" s="169"/>
      <c r="AB476" s="169"/>
      <c r="AC476" s="169"/>
      <c r="AD476" s="169"/>
      <c r="AE476" s="169"/>
      <c r="AF476" s="169"/>
      <c r="AG476" s="169"/>
      <c r="AH476" s="169"/>
      <c r="AI476" s="169"/>
      <c r="AJ476" s="169"/>
      <c r="AK476" s="169"/>
      <c r="AL476" s="169"/>
      <c r="AM476" s="169"/>
      <c r="AN476" s="169"/>
      <c r="AO476" s="169"/>
      <c r="AP476" s="169"/>
    </row>
    <row r="477" spans="5:42" x14ac:dyDescent="0.2">
      <c r="E477" s="169"/>
      <c r="F477" s="169"/>
      <c r="G477" s="169"/>
      <c r="H477" s="169"/>
      <c r="I477" s="169"/>
      <c r="J477" s="169"/>
      <c r="K477" s="169"/>
      <c r="L477" s="169"/>
      <c r="M477" s="169"/>
      <c r="N477" s="169"/>
      <c r="O477" s="169"/>
      <c r="P477" s="169"/>
      <c r="Q477" s="169"/>
      <c r="R477" s="169"/>
      <c r="S477" s="169"/>
      <c r="T477" s="169"/>
      <c r="U477" s="169"/>
      <c r="V477" s="169"/>
      <c r="W477" s="169"/>
      <c r="X477" s="169"/>
      <c r="Y477" s="169"/>
      <c r="Z477" s="169"/>
      <c r="AA477" s="169"/>
      <c r="AB477" s="169"/>
      <c r="AC477" s="169"/>
      <c r="AD477" s="169"/>
      <c r="AE477" s="169"/>
      <c r="AF477" s="169"/>
      <c r="AG477" s="169"/>
      <c r="AH477" s="169"/>
      <c r="AI477" s="169"/>
      <c r="AJ477" s="169"/>
      <c r="AK477" s="169"/>
      <c r="AL477" s="169"/>
      <c r="AM477" s="169"/>
      <c r="AN477" s="169"/>
      <c r="AO477" s="169"/>
      <c r="AP477" s="169"/>
    </row>
    <row r="478" spans="5:42" x14ac:dyDescent="0.2">
      <c r="E478" s="169"/>
      <c r="F478" s="169"/>
      <c r="G478" s="169"/>
      <c r="H478" s="169"/>
      <c r="I478" s="169"/>
      <c r="J478" s="169"/>
      <c r="K478" s="169"/>
      <c r="L478" s="169"/>
      <c r="M478" s="169"/>
      <c r="N478" s="169"/>
      <c r="O478" s="169"/>
      <c r="P478" s="169"/>
      <c r="Q478" s="169"/>
      <c r="R478" s="169"/>
      <c r="S478" s="169"/>
      <c r="T478" s="169"/>
      <c r="U478" s="169"/>
      <c r="V478" s="169"/>
      <c r="W478" s="169"/>
      <c r="X478" s="169"/>
      <c r="Y478" s="169"/>
      <c r="Z478" s="169"/>
      <c r="AA478" s="169"/>
      <c r="AB478" s="169"/>
      <c r="AC478" s="169"/>
      <c r="AD478" s="169"/>
      <c r="AE478" s="169"/>
      <c r="AF478" s="169"/>
      <c r="AG478" s="169"/>
      <c r="AH478" s="169"/>
      <c r="AI478" s="169"/>
      <c r="AJ478" s="169"/>
      <c r="AK478" s="169"/>
      <c r="AL478" s="169"/>
      <c r="AM478" s="169"/>
      <c r="AN478" s="169"/>
      <c r="AO478" s="169"/>
      <c r="AP478" s="169"/>
    </row>
    <row r="479" spans="5:42" x14ac:dyDescent="0.2">
      <c r="E479" s="169"/>
      <c r="F479" s="169"/>
      <c r="G479" s="169"/>
      <c r="H479" s="169"/>
      <c r="I479" s="169"/>
      <c r="J479" s="169"/>
      <c r="K479" s="169"/>
      <c r="L479" s="169"/>
      <c r="M479" s="169"/>
      <c r="N479" s="169"/>
      <c r="O479" s="169"/>
      <c r="P479" s="169"/>
      <c r="Q479" s="169"/>
      <c r="R479" s="169"/>
      <c r="S479" s="169"/>
      <c r="T479" s="169"/>
      <c r="U479" s="169"/>
      <c r="V479" s="169"/>
      <c r="W479" s="169"/>
      <c r="X479" s="169"/>
      <c r="Y479" s="169"/>
      <c r="Z479" s="169"/>
      <c r="AA479" s="169"/>
      <c r="AB479" s="169"/>
      <c r="AC479" s="169"/>
      <c r="AD479" s="169"/>
      <c r="AE479" s="169"/>
      <c r="AF479" s="169"/>
      <c r="AG479" s="169"/>
      <c r="AH479" s="169"/>
      <c r="AI479" s="169"/>
      <c r="AJ479" s="169"/>
      <c r="AK479" s="169"/>
      <c r="AL479" s="169"/>
      <c r="AM479" s="169"/>
      <c r="AN479" s="169"/>
      <c r="AO479" s="169"/>
      <c r="AP479" s="169"/>
    </row>
    <row r="480" spans="5:42" x14ac:dyDescent="0.2">
      <c r="E480" s="169"/>
      <c r="F480" s="169"/>
      <c r="G480" s="169"/>
      <c r="H480" s="169"/>
      <c r="I480" s="169"/>
      <c r="J480" s="169"/>
      <c r="K480" s="169"/>
      <c r="L480" s="169"/>
      <c r="M480" s="169"/>
      <c r="N480" s="169"/>
      <c r="O480" s="169"/>
      <c r="P480" s="169"/>
      <c r="Q480" s="169"/>
      <c r="R480" s="169"/>
      <c r="S480" s="169"/>
      <c r="T480" s="169"/>
      <c r="U480" s="169"/>
      <c r="V480" s="169"/>
      <c r="W480" s="169"/>
      <c r="X480" s="169"/>
      <c r="Y480" s="169"/>
      <c r="Z480" s="169"/>
      <c r="AA480" s="169"/>
      <c r="AB480" s="169"/>
      <c r="AC480" s="169"/>
      <c r="AD480" s="169"/>
      <c r="AE480" s="169"/>
      <c r="AF480" s="169"/>
      <c r="AG480" s="169"/>
      <c r="AH480" s="169"/>
      <c r="AI480" s="169"/>
      <c r="AJ480" s="169"/>
      <c r="AK480" s="169"/>
      <c r="AL480" s="169"/>
      <c r="AM480" s="169"/>
      <c r="AN480" s="169"/>
      <c r="AO480" s="169"/>
      <c r="AP480" s="169"/>
    </row>
    <row r="481" spans="5:42" x14ac:dyDescent="0.2">
      <c r="E481" s="169"/>
      <c r="F481" s="169"/>
      <c r="G481" s="169"/>
      <c r="H481" s="169"/>
      <c r="I481" s="169"/>
      <c r="J481" s="169"/>
      <c r="K481" s="169"/>
      <c r="L481" s="169"/>
      <c r="M481" s="169"/>
      <c r="N481" s="169"/>
      <c r="O481" s="169"/>
      <c r="P481" s="169"/>
      <c r="Q481" s="169"/>
      <c r="R481" s="169"/>
      <c r="S481" s="169"/>
      <c r="T481" s="169"/>
      <c r="U481" s="169"/>
      <c r="V481" s="169"/>
      <c r="W481" s="169"/>
      <c r="X481" s="169"/>
      <c r="Y481" s="169"/>
      <c r="Z481" s="169"/>
      <c r="AA481" s="169"/>
      <c r="AB481" s="169"/>
      <c r="AC481" s="169"/>
      <c r="AD481" s="169"/>
      <c r="AE481" s="169"/>
      <c r="AF481" s="169"/>
      <c r="AG481" s="169"/>
      <c r="AH481" s="169"/>
      <c r="AI481" s="169"/>
      <c r="AJ481" s="169"/>
      <c r="AK481" s="169"/>
      <c r="AL481" s="169"/>
      <c r="AM481" s="169"/>
      <c r="AN481" s="169"/>
      <c r="AO481" s="169"/>
      <c r="AP481" s="169"/>
    </row>
    <row r="482" spans="5:42" x14ac:dyDescent="0.2">
      <c r="E482" s="169"/>
      <c r="F482" s="169"/>
      <c r="G482" s="169"/>
      <c r="H482" s="169"/>
      <c r="I482" s="169"/>
      <c r="J482" s="169"/>
      <c r="K482" s="169"/>
      <c r="L482" s="169"/>
      <c r="M482" s="169"/>
      <c r="N482" s="169"/>
      <c r="O482" s="169"/>
      <c r="P482" s="169"/>
      <c r="Q482" s="169"/>
      <c r="R482" s="169"/>
      <c r="S482" s="169"/>
      <c r="T482" s="169"/>
      <c r="U482" s="169"/>
      <c r="V482" s="169"/>
      <c r="W482" s="169"/>
      <c r="X482" s="169"/>
      <c r="Y482" s="169"/>
      <c r="Z482" s="169"/>
      <c r="AA482" s="169"/>
      <c r="AB482" s="169"/>
      <c r="AC482" s="169"/>
      <c r="AD482" s="169"/>
      <c r="AE482" s="169"/>
      <c r="AF482" s="169"/>
      <c r="AG482" s="169"/>
      <c r="AH482" s="169"/>
      <c r="AI482" s="169"/>
      <c r="AJ482" s="169"/>
      <c r="AK482" s="169"/>
      <c r="AL482" s="169"/>
      <c r="AM482" s="169"/>
      <c r="AN482" s="169"/>
      <c r="AO482" s="169"/>
      <c r="AP482" s="169"/>
    </row>
    <row r="483" spans="5:42" x14ac:dyDescent="0.2">
      <c r="E483" s="169"/>
      <c r="F483" s="169"/>
      <c r="G483" s="169"/>
      <c r="H483" s="169"/>
      <c r="I483" s="169"/>
      <c r="J483" s="169"/>
      <c r="K483" s="169"/>
      <c r="L483" s="169"/>
      <c r="M483" s="169"/>
      <c r="N483" s="169"/>
      <c r="O483" s="169"/>
      <c r="P483" s="169"/>
      <c r="Q483" s="169"/>
      <c r="R483" s="169"/>
      <c r="S483" s="169"/>
      <c r="T483" s="169"/>
      <c r="U483" s="169"/>
      <c r="V483" s="169"/>
      <c r="W483" s="169"/>
      <c r="X483" s="169"/>
      <c r="Y483" s="169"/>
      <c r="Z483" s="169"/>
      <c r="AA483" s="169"/>
      <c r="AB483" s="169"/>
      <c r="AC483" s="169"/>
      <c r="AD483" s="169"/>
      <c r="AE483" s="169"/>
      <c r="AF483" s="169"/>
      <c r="AG483" s="169"/>
      <c r="AH483" s="169"/>
      <c r="AI483" s="169"/>
      <c r="AJ483" s="169"/>
      <c r="AK483" s="169"/>
      <c r="AL483" s="169"/>
      <c r="AM483" s="169"/>
      <c r="AN483" s="169"/>
      <c r="AO483" s="169"/>
      <c r="AP483" s="169"/>
    </row>
    <row r="484" spans="5:42" x14ac:dyDescent="0.2">
      <c r="E484" s="169"/>
      <c r="F484" s="169"/>
      <c r="G484" s="169"/>
      <c r="H484" s="169"/>
      <c r="I484" s="169"/>
      <c r="J484" s="169"/>
      <c r="K484" s="169"/>
      <c r="L484" s="169"/>
      <c r="M484" s="169"/>
      <c r="N484" s="169"/>
      <c r="O484" s="169"/>
      <c r="P484" s="169"/>
      <c r="Q484" s="169"/>
      <c r="R484" s="169"/>
      <c r="S484" s="169"/>
      <c r="T484" s="169"/>
      <c r="U484" s="169"/>
      <c r="V484" s="169"/>
      <c r="W484" s="169"/>
      <c r="X484" s="169"/>
      <c r="Y484" s="169"/>
      <c r="Z484" s="169"/>
      <c r="AA484" s="169"/>
      <c r="AB484" s="169"/>
      <c r="AC484" s="169"/>
      <c r="AD484" s="169"/>
      <c r="AE484" s="169"/>
      <c r="AF484" s="169"/>
      <c r="AG484" s="169"/>
      <c r="AH484" s="169"/>
      <c r="AI484" s="169"/>
      <c r="AJ484" s="169"/>
      <c r="AK484" s="169"/>
      <c r="AL484" s="169"/>
      <c r="AM484" s="169"/>
      <c r="AN484" s="169"/>
      <c r="AO484" s="169"/>
      <c r="AP484" s="169"/>
    </row>
  </sheetData>
  <printOptions horizontalCentered="1"/>
  <pageMargins left="0.25" right="0.25" top="0.49" bottom="0.5" header="0.5" footer="0.5"/>
  <pageSetup scale="75" orientation="landscape" verticalDpi="0" r:id="rId1"/>
  <headerFooter alignWithMargins="0">
    <oddFooter>&amp;L&amp;D&amp;T&amp;C&amp;P&amp;Ro:/Corpdev/North America/Raul/Ammonia/&amp;F</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50"/>
  <sheetViews>
    <sheetView topLeftCell="A2" zoomScale="85" zoomScaleNormal="85" workbookViewId="0">
      <selection activeCell="B33" sqref="B33"/>
    </sheetView>
  </sheetViews>
  <sheetFormatPr defaultRowHeight="12.75" x14ac:dyDescent="0.2"/>
  <cols>
    <col min="1" max="1" width="6.140625" customWidth="1"/>
    <col min="2" max="2" width="10.140625" customWidth="1"/>
    <col min="3" max="3" width="10.5703125" customWidth="1"/>
    <col min="4" max="4" width="11.85546875" customWidth="1"/>
    <col min="5" max="5" width="2" style="110" customWidth="1"/>
    <col min="7" max="7" width="9.7109375" bestFit="1" customWidth="1"/>
    <col min="8" max="8" width="9.85546875" bestFit="1" customWidth="1"/>
    <col min="11" max="16" width="9.7109375" bestFit="1" customWidth="1"/>
    <col min="17" max="17" width="10.140625" customWidth="1"/>
    <col min="18" max="18" width="10.42578125" customWidth="1"/>
    <col min="19" max="20" width="9.7109375" bestFit="1" customWidth="1"/>
    <col min="21" max="21" width="8.85546875" customWidth="1"/>
  </cols>
  <sheetData>
    <row r="1" spans="1:21" ht="21" thickBot="1" x14ac:dyDescent="0.35">
      <c r="A1" s="365" t="s">
        <v>518</v>
      </c>
      <c r="B1" s="339"/>
      <c r="C1" s="339"/>
      <c r="D1" s="340"/>
      <c r="E1" s="340"/>
      <c r="F1" s="340"/>
      <c r="G1" s="360"/>
      <c r="H1" s="360"/>
      <c r="I1" s="360"/>
      <c r="J1" s="360"/>
      <c r="K1" s="360"/>
      <c r="L1" s="360"/>
      <c r="M1" s="360"/>
      <c r="N1" s="360"/>
      <c r="O1" s="360"/>
      <c r="P1" s="360"/>
      <c r="Q1" s="360"/>
      <c r="R1" s="360"/>
      <c r="S1" s="360"/>
      <c r="T1" s="360"/>
      <c r="U1" s="774" t="s">
        <v>789</v>
      </c>
    </row>
    <row r="2" spans="1:21" ht="26.25" x14ac:dyDescent="0.4">
      <c r="A2" s="358"/>
      <c r="B2" s="388"/>
      <c r="C2" s="388"/>
      <c r="D2" s="389"/>
      <c r="E2" s="389"/>
      <c r="F2" s="389"/>
      <c r="G2" s="359"/>
      <c r="U2" s="786" t="s">
        <v>659</v>
      </c>
    </row>
    <row r="3" spans="1:21" ht="26.25" x14ac:dyDescent="0.4">
      <c r="A3" s="358"/>
      <c r="B3" s="388"/>
      <c r="C3" s="388"/>
      <c r="D3" s="389"/>
      <c r="E3" s="389"/>
      <c r="F3" s="389"/>
      <c r="G3" s="359"/>
    </row>
    <row r="4" spans="1:21" ht="26.25" x14ac:dyDescent="0.4">
      <c r="A4" s="358"/>
      <c r="B4" s="388"/>
      <c r="C4" s="388"/>
      <c r="D4" s="389"/>
      <c r="E4" s="389"/>
      <c r="F4" s="389"/>
      <c r="G4" s="359"/>
    </row>
    <row r="5" spans="1:21" x14ac:dyDescent="0.2">
      <c r="B5" s="80" t="s">
        <v>784</v>
      </c>
    </row>
    <row r="7" spans="1:21" x14ac:dyDescent="0.2">
      <c r="F7" s="409">
        <v>36160</v>
      </c>
      <c r="G7" s="409">
        <v>36525</v>
      </c>
      <c r="H7" s="409">
        <v>36891</v>
      </c>
      <c r="I7" s="409">
        <v>37073</v>
      </c>
      <c r="J7" s="409">
        <v>37256</v>
      </c>
      <c r="K7" s="409">
        <v>37621</v>
      </c>
      <c r="L7" s="409">
        <v>37986</v>
      </c>
      <c r="M7" s="409">
        <v>38352</v>
      </c>
      <c r="N7" s="409">
        <v>38717</v>
      </c>
      <c r="O7" s="409">
        <v>39082</v>
      </c>
      <c r="P7" s="409">
        <v>39447</v>
      </c>
      <c r="Q7" s="409">
        <v>39813</v>
      </c>
      <c r="R7" s="409">
        <v>40178</v>
      </c>
      <c r="S7" s="409">
        <v>40543</v>
      </c>
      <c r="T7" s="409">
        <v>40908</v>
      </c>
      <c r="U7" s="409">
        <v>40909</v>
      </c>
    </row>
    <row r="8" spans="1:21" x14ac:dyDescent="0.2">
      <c r="A8" t="s">
        <v>776</v>
      </c>
      <c r="F8" s="258">
        <v>472</v>
      </c>
      <c r="G8" s="258">
        <v>528</v>
      </c>
      <c r="H8" s="258">
        <f>707</f>
        <v>707</v>
      </c>
      <c r="I8" s="258">
        <f>AVERAGE(G8:H8)/2</f>
        <v>308.75</v>
      </c>
      <c r="J8" s="258">
        <f>+I8</f>
        <v>308.75</v>
      </c>
      <c r="K8" s="258">
        <f>AVERAGE(G8:H8)</f>
        <v>617.5</v>
      </c>
      <c r="L8" s="258">
        <f>+K8</f>
        <v>617.5</v>
      </c>
      <c r="M8" s="258">
        <f t="shared" ref="M8:T8" si="0">+L8</f>
        <v>617.5</v>
      </c>
      <c r="N8" s="258">
        <f t="shared" si="0"/>
        <v>617.5</v>
      </c>
      <c r="O8" s="258">
        <f t="shared" si="0"/>
        <v>617.5</v>
      </c>
      <c r="P8" s="258">
        <f t="shared" si="0"/>
        <v>617.5</v>
      </c>
      <c r="Q8" s="258">
        <f t="shared" si="0"/>
        <v>617.5</v>
      </c>
      <c r="R8" s="258">
        <f t="shared" si="0"/>
        <v>617.5</v>
      </c>
      <c r="S8" s="258">
        <f t="shared" si="0"/>
        <v>617.5</v>
      </c>
      <c r="T8" s="258">
        <f t="shared" si="0"/>
        <v>617.5</v>
      </c>
    </row>
    <row r="9" spans="1:21" x14ac:dyDescent="0.2">
      <c r="F9" s="169"/>
      <c r="G9" s="169"/>
      <c r="H9" s="169"/>
      <c r="I9" s="686"/>
      <c r="J9" s="169"/>
      <c r="K9" s="169"/>
      <c r="L9" s="169"/>
      <c r="M9" s="169"/>
      <c r="N9" s="169"/>
      <c r="O9" s="169"/>
      <c r="P9" s="169"/>
      <c r="Q9" s="169"/>
      <c r="R9" s="169"/>
      <c r="S9" s="169"/>
      <c r="T9" s="169"/>
    </row>
    <row r="10" spans="1:21" x14ac:dyDescent="0.2">
      <c r="A10" t="s">
        <v>777</v>
      </c>
      <c r="F10" s="332">
        <f>2904+704</f>
        <v>3608</v>
      </c>
      <c r="G10" s="332">
        <f>3291+110</f>
        <v>3401</v>
      </c>
      <c r="H10" s="332">
        <f>3613+597</f>
        <v>4210</v>
      </c>
      <c r="I10" s="332">
        <f>AVERAGE(G10:H10)/2</f>
        <v>1902.75</v>
      </c>
      <c r="J10" s="332">
        <f>+I10</f>
        <v>1902.75</v>
      </c>
      <c r="K10" s="332">
        <f>AVERAGE(G10:H10)</f>
        <v>3805.5</v>
      </c>
      <c r="L10" s="332">
        <f>K10</f>
        <v>3805.5</v>
      </c>
      <c r="M10" s="332">
        <f t="shared" ref="M10:T10" si="1">L10</f>
        <v>3805.5</v>
      </c>
      <c r="N10" s="332">
        <f t="shared" si="1"/>
        <v>3805.5</v>
      </c>
      <c r="O10" s="332">
        <f t="shared" si="1"/>
        <v>3805.5</v>
      </c>
      <c r="P10" s="332">
        <f t="shared" si="1"/>
        <v>3805.5</v>
      </c>
      <c r="Q10" s="332">
        <f t="shared" si="1"/>
        <v>3805.5</v>
      </c>
      <c r="R10" s="332">
        <f t="shared" si="1"/>
        <v>3805.5</v>
      </c>
      <c r="S10" s="332">
        <f t="shared" si="1"/>
        <v>3805.5</v>
      </c>
      <c r="T10" s="332">
        <f t="shared" si="1"/>
        <v>3805.5</v>
      </c>
    </row>
    <row r="11" spans="1:21" x14ac:dyDescent="0.2">
      <c r="A11" t="s">
        <v>778</v>
      </c>
      <c r="F11" s="79">
        <v>-149</v>
      </c>
      <c r="G11" s="79">
        <v>367</v>
      </c>
      <c r="H11" s="79">
        <f>165</f>
        <v>165</v>
      </c>
      <c r="I11" s="79">
        <f>165/2</f>
        <v>82.5</v>
      </c>
      <c r="J11" s="79">
        <f>165/2</f>
        <v>82.5</v>
      </c>
      <c r="K11" s="79">
        <f>J11*2</f>
        <v>165</v>
      </c>
      <c r="L11" s="79">
        <f>K11</f>
        <v>165</v>
      </c>
      <c r="M11" s="79">
        <f t="shared" ref="M11:T11" si="2">L11</f>
        <v>165</v>
      </c>
      <c r="N11" s="79">
        <f t="shared" si="2"/>
        <v>165</v>
      </c>
      <c r="O11" s="79">
        <f t="shared" si="2"/>
        <v>165</v>
      </c>
      <c r="P11" s="79">
        <f t="shared" si="2"/>
        <v>165</v>
      </c>
      <c r="Q11" s="79">
        <f t="shared" si="2"/>
        <v>165</v>
      </c>
      <c r="R11" s="79">
        <f t="shared" si="2"/>
        <v>165</v>
      </c>
      <c r="S11" s="79">
        <f t="shared" si="2"/>
        <v>165</v>
      </c>
      <c r="T11" s="79">
        <f t="shared" si="2"/>
        <v>165</v>
      </c>
    </row>
    <row r="12" spans="1:21" x14ac:dyDescent="0.2">
      <c r="A12" t="s">
        <v>796</v>
      </c>
      <c r="F12" s="332">
        <f>F10+F11</f>
        <v>3459</v>
      </c>
      <c r="G12" s="332">
        <f t="shared" ref="G12:T12" si="3">G10+G11</f>
        <v>3768</v>
      </c>
      <c r="H12" s="332">
        <f t="shared" si="3"/>
        <v>4375</v>
      </c>
      <c r="I12" s="332">
        <f t="shared" si="3"/>
        <v>1985.25</v>
      </c>
      <c r="J12" s="332">
        <f t="shared" si="3"/>
        <v>1985.25</v>
      </c>
      <c r="K12" s="332">
        <f t="shared" si="3"/>
        <v>3970.5</v>
      </c>
      <c r="L12" s="332">
        <f t="shared" si="3"/>
        <v>3970.5</v>
      </c>
      <c r="M12" s="332">
        <f t="shared" si="3"/>
        <v>3970.5</v>
      </c>
      <c r="N12" s="332">
        <f t="shared" si="3"/>
        <v>3970.5</v>
      </c>
      <c r="O12" s="332">
        <f t="shared" si="3"/>
        <v>3970.5</v>
      </c>
      <c r="P12" s="332">
        <f t="shared" si="3"/>
        <v>3970.5</v>
      </c>
      <c r="Q12" s="332">
        <f t="shared" si="3"/>
        <v>3970.5</v>
      </c>
      <c r="R12" s="332">
        <f t="shared" si="3"/>
        <v>3970.5</v>
      </c>
      <c r="S12" s="332">
        <f t="shared" si="3"/>
        <v>3970.5</v>
      </c>
      <c r="T12" s="332">
        <f t="shared" si="3"/>
        <v>3970.5</v>
      </c>
    </row>
    <row r="13" spans="1:21" x14ac:dyDescent="0.2">
      <c r="F13" s="332"/>
      <c r="G13" s="332"/>
      <c r="H13" s="332"/>
      <c r="I13" s="332"/>
      <c r="J13" s="332"/>
      <c r="K13" s="332"/>
      <c r="L13" s="332"/>
      <c r="M13" s="332"/>
      <c r="N13" s="332"/>
      <c r="O13" s="332"/>
      <c r="P13" s="332"/>
      <c r="Q13" s="332"/>
      <c r="R13" s="332"/>
      <c r="S13" s="332"/>
      <c r="T13" s="332"/>
    </row>
    <row r="14" spans="1:21" ht="15" x14ac:dyDescent="0.35">
      <c r="A14" t="s">
        <v>742</v>
      </c>
      <c r="D14" s="646">
        <f>'Sea-3 NH '!D20</f>
        <v>0.04</v>
      </c>
      <c r="F14" s="87">
        <v>-486</v>
      </c>
      <c r="G14" s="87">
        <v>-601</v>
      </c>
      <c r="H14" s="87">
        <f>-694</f>
        <v>-694</v>
      </c>
      <c r="I14" s="87">
        <f>-694/2</f>
        <v>-347</v>
      </c>
      <c r="J14" s="87">
        <f>-694/2</f>
        <v>-347</v>
      </c>
      <c r="K14" s="87">
        <f>J14*2</f>
        <v>-694</v>
      </c>
      <c r="L14" s="87">
        <f t="shared" ref="L14:T14" si="4">K14*(1+$D$14)</f>
        <v>-721.76</v>
      </c>
      <c r="M14" s="87">
        <f t="shared" si="4"/>
        <v>-750.63040000000001</v>
      </c>
      <c r="N14" s="87">
        <f t="shared" si="4"/>
        <v>-780.65561600000001</v>
      </c>
      <c r="O14" s="87">
        <f t="shared" si="4"/>
        <v>-811.88184064000006</v>
      </c>
      <c r="P14" s="87">
        <f t="shared" si="4"/>
        <v>-844.3571142656001</v>
      </c>
      <c r="Q14" s="87">
        <f t="shared" si="4"/>
        <v>-878.13139883622409</v>
      </c>
      <c r="R14" s="87">
        <f t="shared" si="4"/>
        <v>-913.25665478967312</v>
      </c>
      <c r="S14" s="87">
        <f t="shared" si="4"/>
        <v>-949.7869209812601</v>
      </c>
      <c r="T14" s="87">
        <f t="shared" si="4"/>
        <v>-987.77839782051058</v>
      </c>
      <c r="U14" s="332"/>
    </row>
    <row r="15" spans="1:21" x14ac:dyDescent="0.2">
      <c r="A15" t="s">
        <v>795</v>
      </c>
      <c r="F15" s="465">
        <f t="shared" ref="F15:T15" si="5">+F12+F14</f>
        <v>2973</v>
      </c>
      <c r="G15" s="465">
        <f t="shared" si="5"/>
        <v>3167</v>
      </c>
      <c r="H15" s="465">
        <f t="shared" si="5"/>
        <v>3681</v>
      </c>
      <c r="I15" s="465">
        <f t="shared" si="5"/>
        <v>1638.25</v>
      </c>
      <c r="J15" s="465">
        <f t="shared" si="5"/>
        <v>1638.25</v>
      </c>
      <c r="K15" s="465">
        <f t="shared" si="5"/>
        <v>3276.5</v>
      </c>
      <c r="L15" s="465">
        <f t="shared" si="5"/>
        <v>3248.74</v>
      </c>
      <c r="M15" s="465">
        <f t="shared" si="5"/>
        <v>3219.8696</v>
      </c>
      <c r="N15" s="465">
        <f t="shared" si="5"/>
        <v>3189.844384</v>
      </c>
      <c r="O15" s="465">
        <f t="shared" si="5"/>
        <v>3158.6181593599999</v>
      </c>
      <c r="P15" s="465">
        <f t="shared" si="5"/>
        <v>3126.1428857343999</v>
      </c>
      <c r="Q15" s="465">
        <f t="shared" si="5"/>
        <v>3092.368601163776</v>
      </c>
      <c r="R15" s="465">
        <f t="shared" si="5"/>
        <v>3057.2433452103269</v>
      </c>
      <c r="S15" s="465">
        <f t="shared" si="5"/>
        <v>3020.7130790187398</v>
      </c>
      <c r="T15" s="465">
        <f t="shared" si="5"/>
        <v>2982.7216021794893</v>
      </c>
      <c r="U15" s="332"/>
    </row>
    <row r="16" spans="1:21" x14ac:dyDescent="0.2">
      <c r="F16" s="465"/>
      <c r="G16" s="465"/>
      <c r="H16" s="465"/>
      <c r="I16" s="465"/>
      <c r="J16" s="465"/>
      <c r="K16" s="465"/>
      <c r="L16" s="465"/>
      <c r="M16" s="465"/>
      <c r="N16" s="465"/>
      <c r="O16" s="465"/>
      <c r="P16" s="465"/>
      <c r="Q16" s="465"/>
      <c r="R16" s="465"/>
      <c r="S16" s="465"/>
      <c r="T16" s="465"/>
      <c r="U16" s="332"/>
    </row>
    <row r="17" spans="1:21" ht="15" x14ac:dyDescent="0.35">
      <c r="A17" t="s">
        <v>788</v>
      </c>
      <c r="F17" s="87">
        <v>207</v>
      </c>
      <c r="G17" s="87">
        <v>197</v>
      </c>
      <c r="H17" s="87">
        <f>177</f>
        <v>177</v>
      </c>
      <c r="I17" s="87">
        <f>177/2</f>
        <v>88.5</v>
      </c>
      <c r="J17" s="87">
        <f>177/2</f>
        <v>88.5</v>
      </c>
      <c r="K17" s="87">
        <f>J17*2</f>
        <v>177</v>
      </c>
      <c r="L17" s="87">
        <f>K17</f>
        <v>177</v>
      </c>
      <c r="M17" s="87">
        <f t="shared" ref="M17:T17" si="6">L17</f>
        <v>177</v>
      </c>
      <c r="N17" s="87">
        <f t="shared" si="6"/>
        <v>177</v>
      </c>
      <c r="O17" s="87">
        <f t="shared" si="6"/>
        <v>177</v>
      </c>
      <c r="P17" s="87">
        <f t="shared" si="6"/>
        <v>177</v>
      </c>
      <c r="Q17" s="87">
        <f t="shared" si="6"/>
        <v>177</v>
      </c>
      <c r="R17" s="87">
        <f t="shared" si="6"/>
        <v>177</v>
      </c>
      <c r="S17" s="87">
        <f t="shared" si="6"/>
        <v>177</v>
      </c>
      <c r="T17" s="87">
        <f t="shared" si="6"/>
        <v>177</v>
      </c>
      <c r="U17" s="332"/>
    </row>
    <row r="18" spans="1:21" x14ac:dyDescent="0.2">
      <c r="A18" t="s">
        <v>107</v>
      </c>
      <c r="F18" s="169">
        <f t="shared" ref="F18:T18" si="7">SUM(F15:F17)</f>
        <v>3180</v>
      </c>
      <c r="G18" s="169">
        <f t="shared" si="7"/>
        <v>3364</v>
      </c>
      <c r="H18" s="169">
        <f t="shared" si="7"/>
        <v>3858</v>
      </c>
      <c r="I18" s="169">
        <f t="shared" si="7"/>
        <v>1726.75</v>
      </c>
      <c r="J18" s="169">
        <f t="shared" si="7"/>
        <v>1726.75</v>
      </c>
      <c r="K18" s="169">
        <f t="shared" si="7"/>
        <v>3453.5</v>
      </c>
      <c r="L18" s="169">
        <f t="shared" si="7"/>
        <v>3425.74</v>
      </c>
      <c r="M18" s="169">
        <f t="shared" si="7"/>
        <v>3396.8696</v>
      </c>
      <c r="N18" s="169">
        <f t="shared" si="7"/>
        <v>3366.844384</v>
      </c>
      <c r="O18" s="169">
        <f t="shared" si="7"/>
        <v>3335.6181593599999</v>
      </c>
      <c r="P18" s="169">
        <f t="shared" si="7"/>
        <v>3303.1428857343999</v>
      </c>
      <c r="Q18" s="169">
        <f t="shared" si="7"/>
        <v>3269.368601163776</v>
      </c>
      <c r="R18" s="169">
        <f t="shared" si="7"/>
        <v>3234.2433452103269</v>
      </c>
      <c r="S18" s="169">
        <f t="shared" si="7"/>
        <v>3197.7130790187398</v>
      </c>
      <c r="T18" s="169">
        <f t="shared" si="7"/>
        <v>3159.7216021794893</v>
      </c>
      <c r="U18" s="332"/>
    </row>
    <row r="19" spans="1:21" x14ac:dyDescent="0.2">
      <c r="F19" s="332"/>
      <c r="G19" s="332"/>
      <c r="H19" s="332"/>
      <c r="I19" s="332"/>
      <c r="J19" s="332"/>
      <c r="K19" s="332"/>
      <c r="L19" s="332"/>
      <c r="M19" s="332"/>
      <c r="N19" s="332"/>
      <c r="O19" s="332"/>
      <c r="P19" s="332"/>
      <c r="Q19" s="332"/>
      <c r="R19" s="332"/>
      <c r="S19" s="332"/>
      <c r="T19" s="332"/>
      <c r="U19" s="332"/>
    </row>
    <row r="20" spans="1:21" x14ac:dyDescent="0.2">
      <c r="A20" t="s">
        <v>386</v>
      </c>
      <c r="F20" s="437">
        <v>-704</v>
      </c>
      <c r="G20" s="437">
        <v>-110</v>
      </c>
      <c r="H20" s="437">
        <f>-597</f>
        <v>-597</v>
      </c>
      <c r="I20" s="437">
        <f ca="1">-(Dep!$F$64+Dep!$F$37)/2</f>
        <v>-396.33275219235196</v>
      </c>
      <c r="J20" s="437">
        <f ca="1">-(Dep!$F$64+Dep!$F$37)/2</f>
        <v>-396.33275219235196</v>
      </c>
      <c r="K20" s="437">
        <f ca="1">-(Dep!G64+Dep!G37)</f>
        <v>-792.66550438470392</v>
      </c>
      <c r="L20" s="437">
        <f ca="1">-(Dep!H64+Dep!H37)</f>
        <v>-792.66550438470392</v>
      </c>
      <c r="M20" s="437">
        <f ca="1">-(Dep!I64+Dep!I37)</f>
        <v>-792.66550438470392</v>
      </c>
      <c r="N20" s="437">
        <f ca="1">-(Dep!J64+Dep!J37)</f>
        <v>-792.66550438470392</v>
      </c>
      <c r="O20" s="437">
        <f ca="1">-(Dep!K64+Dep!K37)</f>
        <v>-792.66550438470392</v>
      </c>
      <c r="P20" s="437">
        <f ca="1">-(Dep!L64+Dep!L37)</f>
        <v>-792.66550438470392</v>
      </c>
      <c r="Q20" s="437">
        <f ca="1">-(Dep!M64+Dep!M37)</f>
        <v>-792.66550438470392</v>
      </c>
      <c r="R20" s="437">
        <f ca="1">-(Dep!N64+Dep!N37)</f>
        <v>-792.66550438470392</v>
      </c>
      <c r="S20" s="437">
        <f ca="1">-(Dep!O64+Dep!O37)</f>
        <v>-792.66550438470392</v>
      </c>
      <c r="T20" s="437">
        <f ca="1">-(Dep!P64+Dep!P37)</f>
        <v>-792.66550438470392</v>
      </c>
      <c r="U20" s="332"/>
    </row>
    <row r="21" spans="1:21" x14ac:dyDescent="0.2">
      <c r="A21" t="s">
        <v>82</v>
      </c>
      <c r="F21" s="332">
        <f t="shared" ref="F21:T21" si="8">+F18+F20</f>
        <v>2476</v>
      </c>
      <c r="G21" s="332">
        <f t="shared" si="8"/>
        <v>3254</v>
      </c>
      <c r="H21" s="332">
        <f t="shared" si="8"/>
        <v>3261</v>
      </c>
      <c r="I21" s="332">
        <f t="shared" ca="1" si="8"/>
        <v>1330.417247807648</v>
      </c>
      <c r="J21" s="332">
        <f t="shared" ca="1" si="8"/>
        <v>1330.417247807648</v>
      </c>
      <c r="K21" s="332">
        <f t="shared" ca="1" si="8"/>
        <v>2660.834495615296</v>
      </c>
      <c r="L21" s="332">
        <f t="shared" ca="1" si="8"/>
        <v>2633.0744956152957</v>
      </c>
      <c r="M21" s="332">
        <f t="shared" ca="1" si="8"/>
        <v>2604.204095615296</v>
      </c>
      <c r="N21" s="332">
        <f t="shared" ca="1" si="8"/>
        <v>2574.178879615296</v>
      </c>
      <c r="O21" s="332">
        <f t="shared" ca="1" si="8"/>
        <v>2542.9526549752959</v>
      </c>
      <c r="P21" s="332">
        <f t="shared" ca="1" si="8"/>
        <v>2510.4773813496959</v>
      </c>
      <c r="Q21" s="332">
        <f t="shared" ca="1" si="8"/>
        <v>2476.703096779072</v>
      </c>
      <c r="R21" s="332">
        <f t="shared" ca="1" si="8"/>
        <v>2441.5778408256228</v>
      </c>
      <c r="S21" s="332">
        <f t="shared" ca="1" si="8"/>
        <v>2405.0475746340358</v>
      </c>
      <c r="T21" s="332">
        <f t="shared" ca="1" si="8"/>
        <v>2367.0560977947853</v>
      </c>
      <c r="U21" s="332"/>
    </row>
    <row r="22" spans="1:21" x14ac:dyDescent="0.2">
      <c r="F22" s="332"/>
      <c r="G22" s="332"/>
      <c r="H22" s="332"/>
      <c r="I22" s="332"/>
      <c r="J22" s="332"/>
      <c r="K22" s="332"/>
      <c r="L22" s="332"/>
      <c r="M22" s="332"/>
      <c r="N22" s="332"/>
      <c r="O22" s="332"/>
      <c r="P22" s="332"/>
      <c r="Q22" s="332"/>
      <c r="R22" s="332"/>
      <c r="S22" s="332"/>
      <c r="T22" s="332"/>
      <c r="U22" s="332"/>
    </row>
    <row r="23" spans="1:21" x14ac:dyDescent="0.2">
      <c r="A23" t="s">
        <v>589</v>
      </c>
      <c r="F23" s="332"/>
      <c r="G23" s="332"/>
      <c r="H23" s="332"/>
      <c r="I23" s="332"/>
      <c r="J23" s="439">
        <f ca="1">-J21*Assumptions!$B$8</f>
        <v>-465.64603673267675</v>
      </c>
      <c r="K23" s="439">
        <f ca="1">-K21*Assumptions!$B$8</f>
        <v>-931.2920734653535</v>
      </c>
      <c r="L23" s="439">
        <f ca="1">-L21*Assumptions!$B$8</f>
        <v>-921.57607346535349</v>
      </c>
      <c r="M23" s="439">
        <f ca="1">-M21*Assumptions!$B$8</f>
        <v>-911.47143346535347</v>
      </c>
      <c r="N23" s="439">
        <f ca="1">-N21*Assumptions!$B$8</f>
        <v>-900.96260786535356</v>
      </c>
      <c r="O23" s="439">
        <f ca="1">-O21*Assumptions!$B$8</f>
        <v>-890.03342924135347</v>
      </c>
      <c r="P23" s="439">
        <f ca="1">-P21*Assumptions!$B$8</f>
        <v>-878.66708347239353</v>
      </c>
      <c r="Q23" s="439">
        <f ca="1">-Q21*Assumptions!$B$8</f>
        <v>-866.84608387267519</v>
      </c>
      <c r="R23" s="439">
        <f ca="1">-R21*Assumptions!$B$8</f>
        <v>-854.55224428896793</v>
      </c>
      <c r="S23" s="439">
        <f ca="1">-S21*Assumptions!$B$8</f>
        <v>-841.76665112191245</v>
      </c>
      <c r="T23" s="439">
        <f ca="1">-T21*Assumptions!$B$8</f>
        <v>-828.46963422817475</v>
      </c>
      <c r="U23" s="332"/>
    </row>
    <row r="24" spans="1:21" x14ac:dyDescent="0.2">
      <c r="A24" t="s">
        <v>590</v>
      </c>
      <c r="F24" s="332"/>
      <c r="G24" s="332"/>
      <c r="H24" s="332"/>
      <c r="I24" s="332"/>
      <c r="J24" s="439">
        <f ca="1">Dep!F123*0.5</f>
        <v>455.96101475969124</v>
      </c>
      <c r="K24" s="439">
        <f ca="1">Dep!G123</f>
        <v>1760.8667847154004</v>
      </c>
      <c r="L24" s="439">
        <f ca="1">Dep!H123</f>
        <v>1178.257638992643</v>
      </c>
      <c r="M24" s="439">
        <f ca="1">Dep!I123</f>
        <v>762.1082491906734</v>
      </c>
      <c r="N24" s="439">
        <f ca="1">Dep!J123</f>
        <v>465.80988365167116</v>
      </c>
      <c r="O24" s="439">
        <f ca="1">Dep!K123</f>
        <v>464.97758487206733</v>
      </c>
      <c r="P24" s="439">
        <f ca="1">Dep!L123</f>
        <v>465.80988365167116</v>
      </c>
      <c r="Q24" s="439">
        <f ca="1">Dep!M123</f>
        <v>93.772329168710499</v>
      </c>
      <c r="R24" s="439">
        <f ca="1">Dep!N123</f>
        <v>-277.43292653464636</v>
      </c>
      <c r="S24" s="439">
        <f ca="1">Dep!O123</f>
        <v>-277.43292653464636</v>
      </c>
      <c r="T24" s="439">
        <f ca="1">Dep!P123</f>
        <v>-277.43292653464636</v>
      </c>
      <c r="U24" s="332"/>
    </row>
    <row r="25" spans="1:21" x14ac:dyDescent="0.2">
      <c r="A25" t="s">
        <v>591</v>
      </c>
      <c r="F25" s="332"/>
      <c r="G25" s="332"/>
      <c r="H25" s="332"/>
      <c r="I25" s="332"/>
      <c r="J25" s="439">
        <f t="shared" ref="J25:T25" ca="1" si="9">+J20*-1</f>
        <v>396.33275219235196</v>
      </c>
      <c r="K25" s="439">
        <f t="shared" ca="1" si="9"/>
        <v>792.66550438470392</v>
      </c>
      <c r="L25" s="439">
        <f t="shared" ca="1" si="9"/>
        <v>792.66550438470392</v>
      </c>
      <c r="M25" s="439">
        <f t="shared" ca="1" si="9"/>
        <v>792.66550438470392</v>
      </c>
      <c r="N25" s="439">
        <f t="shared" ca="1" si="9"/>
        <v>792.66550438470392</v>
      </c>
      <c r="O25" s="439">
        <f t="shared" ca="1" si="9"/>
        <v>792.66550438470392</v>
      </c>
      <c r="P25" s="439">
        <f t="shared" ca="1" si="9"/>
        <v>792.66550438470392</v>
      </c>
      <c r="Q25" s="439">
        <f t="shared" ca="1" si="9"/>
        <v>792.66550438470392</v>
      </c>
      <c r="R25" s="439">
        <f t="shared" ca="1" si="9"/>
        <v>792.66550438470392</v>
      </c>
      <c r="S25" s="439">
        <f t="shared" ca="1" si="9"/>
        <v>792.66550438470392</v>
      </c>
      <c r="T25" s="439">
        <f t="shared" ca="1" si="9"/>
        <v>792.66550438470392</v>
      </c>
      <c r="U25" s="332"/>
    </row>
    <row r="26" spans="1:21" x14ac:dyDescent="0.2">
      <c r="A26" t="s">
        <v>592</v>
      </c>
      <c r="F26" s="332"/>
      <c r="G26" s="332"/>
      <c r="H26" s="332"/>
      <c r="I26" s="332"/>
      <c r="J26" s="439">
        <v>0</v>
      </c>
      <c r="K26" s="439">
        <v>0</v>
      </c>
      <c r="L26" s="439">
        <v>0</v>
      </c>
      <c r="M26" s="439">
        <v>0</v>
      </c>
      <c r="N26" s="439">
        <v>0</v>
      </c>
      <c r="O26" s="439">
        <v>0</v>
      </c>
      <c r="P26" s="439">
        <v>0</v>
      </c>
      <c r="Q26" s="439">
        <v>0</v>
      </c>
      <c r="R26" s="439">
        <v>0</v>
      </c>
      <c r="S26" s="439">
        <v>0</v>
      </c>
      <c r="T26" s="439">
        <v>0</v>
      </c>
      <c r="U26" s="332"/>
    </row>
    <row r="27" spans="1:21" x14ac:dyDescent="0.2">
      <c r="A27" t="s">
        <v>593</v>
      </c>
      <c r="F27" s="332"/>
      <c r="G27" s="332"/>
      <c r="H27" s="332"/>
      <c r="I27" s="332"/>
      <c r="J27" s="437">
        <f>+J50</f>
        <v>0</v>
      </c>
      <c r="K27" s="437">
        <f t="shared" ref="K27:T27" si="10">+K50</f>
        <v>300.65810502283057</v>
      </c>
      <c r="L27" s="437">
        <f t="shared" si="10"/>
        <v>0</v>
      </c>
      <c r="M27" s="437">
        <f t="shared" si="10"/>
        <v>0</v>
      </c>
      <c r="N27" s="437">
        <f t="shared" si="10"/>
        <v>0</v>
      </c>
      <c r="O27" s="437">
        <f t="shared" si="10"/>
        <v>0</v>
      </c>
      <c r="P27" s="437">
        <f t="shared" si="10"/>
        <v>0</v>
      </c>
      <c r="Q27" s="437">
        <f t="shared" si="10"/>
        <v>0</v>
      </c>
      <c r="R27" s="437">
        <f t="shared" si="10"/>
        <v>0</v>
      </c>
      <c r="S27" s="437">
        <f t="shared" si="10"/>
        <v>0</v>
      </c>
      <c r="T27" s="437">
        <f t="shared" si="10"/>
        <v>0</v>
      </c>
      <c r="U27" s="332"/>
    </row>
    <row r="28" spans="1:21" x14ac:dyDescent="0.2">
      <c r="A28" t="s">
        <v>95</v>
      </c>
      <c r="I28" s="175">
        <v>0</v>
      </c>
      <c r="J28" s="440">
        <f t="shared" ref="J28:T28" ca="1" si="11">SUM(J21:J27)</f>
        <v>1717.0649780270146</v>
      </c>
      <c r="K28" s="440">
        <f t="shared" ca="1" si="11"/>
        <v>4583.7328162728772</v>
      </c>
      <c r="L28" s="440">
        <f t="shared" ca="1" si="11"/>
        <v>3682.4215655272892</v>
      </c>
      <c r="M28" s="440">
        <f t="shared" ca="1" si="11"/>
        <v>3247.50641572532</v>
      </c>
      <c r="N28" s="440">
        <f t="shared" ca="1" si="11"/>
        <v>2931.6916597863174</v>
      </c>
      <c r="O28" s="440">
        <f t="shared" ca="1" si="11"/>
        <v>2910.5623149907137</v>
      </c>
      <c r="P28" s="440">
        <f t="shared" ca="1" si="11"/>
        <v>2890.2856859136773</v>
      </c>
      <c r="Q28" s="440">
        <f t="shared" ca="1" si="11"/>
        <v>2496.2948464598112</v>
      </c>
      <c r="R28" s="440">
        <f t="shared" ca="1" si="11"/>
        <v>2102.2581743867127</v>
      </c>
      <c r="S28" s="440">
        <f t="shared" ca="1" si="11"/>
        <v>2078.5135013621807</v>
      </c>
      <c r="T28" s="440">
        <f t="shared" ca="1" si="11"/>
        <v>2053.8190414166679</v>
      </c>
      <c r="U28" s="440">
        <f ca="1">+T21*D32</f>
        <v>14202.336586768712</v>
      </c>
    </row>
    <row r="30" spans="1:21" x14ac:dyDescent="0.2">
      <c r="B30" s="170"/>
      <c r="C30" s="291"/>
      <c r="D30" s="170"/>
      <c r="E30" s="260"/>
      <c r="F30" s="261"/>
      <c r="G30" s="261"/>
      <c r="H30" s="261"/>
      <c r="I30" s="261"/>
      <c r="J30" s="261"/>
      <c r="K30" s="261"/>
      <c r="L30" s="261"/>
      <c r="M30" s="261"/>
      <c r="N30" s="261"/>
      <c r="O30" s="261"/>
      <c r="P30" s="261"/>
      <c r="Q30" s="261"/>
      <c r="R30" s="261"/>
      <c r="S30" s="261"/>
      <c r="T30" s="261"/>
    </row>
    <row r="31" spans="1:21" x14ac:dyDescent="0.2">
      <c r="C31" s="291" t="str">
        <f>"NPV@"&amp;(Assumptions!$B$6*100)&amp;"%"</f>
        <v>NPV@11%</v>
      </c>
      <c r="D31" s="333">
        <f ca="1">XNPV(Assumptions!$B$6,I28:U28,I7:U7)</f>
        <v>23779.965131541117</v>
      </c>
      <c r="E31" s="260"/>
      <c r="F31" s="261"/>
      <c r="G31" s="261"/>
      <c r="H31" s="261"/>
      <c r="I31" s="261"/>
      <c r="J31" s="261"/>
      <c r="K31" s="261"/>
      <c r="L31" s="261"/>
      <c r="M31" s="261"/>
      <c r="N31" s="261"/>
      <c r="O31" s="261"/>
      <c r="P31" s="261"/>
      <c r="Q31" s="261"/>
      <c r="R31" s="261"/>
      <c r="S31" s="261"/>
      <c r="T31" s="261"/>
    </row>
    <row r="32" spans="1:21" x14ac:dyDescent="0.2">
      <c r="C32" s="291" t="s">
        <v>497</v>
      </c>
      <c r="D32" s="585">
        <f>Assumptions!$B$7</f>
        <v>6</v>
      </c>
      <c r="F32" s="261"/>
      <c r="G32" s="261"/>
      <c r="H32" s="261"/>
      <c r="I32" s="261"/>
      <c r="J32" s="424"/>
      <c r="K32" s="261"/>
      <c r="L32" s="261"/>
      <c r="M32" s="261"/>
      <c r="N32" s="261"/>
      <c r="O32" s="261"/>
      <c r="P32" s="261"/>
      <c r="Q32" s="261"/>
      <c r="R32" s="261"/>
      <c r="S32" s="261"/>
      <c r="T32" s="261"/>
    </row>
    <row r="34" spans="1:21" x14ac:dyDescent="0.2">
      <c r="B34" s="318" t="s">
        <v>799</v>
      </c>
    </row>
    <row r="36" spans="1:21" x14ac:dyDescent="0.2">
      <c r="F36" s="409">
        <v>36160</v>
      </c>
      <c r="G36" s="409">
        <v>36525</v>
      </c>
      <c r="H36" s="409">
        <v>36891</v>
      </c>
      <c r="I36" s="409">
        <v>37073</v>
      </c>
      <c r="J36" s="409">
        <v>37256</v>
      </c>
      <c r="K36" s="409">
        <v>37621</v>
      </c>
      <c r="L36" s="409">
        <v>37986</v>
      </c>
      <c r="M36" s="409">
        <v>38352</v>
      </c>
      <c r="N36" s="409">
        <v>38717</v>
      </c>
      <c r="O36" s="409">
        <v>39082</v>
      </c>
      <c r="P36" s="409">
        <v>39447</v>
      </c>
      <c r="Q36" s="409">
        <v>39813</v>
      </c>
      <c r="R36" s="409">
        <v>40178</v>
      </c>
      <c r="S36" s="409">
        <v>40543</v>
      </c>
      <c r="T36" s="409">
        <v>40908</v>
      </c>
      <c r="U36" s="454"/>
    </row>
    <row r="38" spans="1:21" x14ac:dyDescent="0.2">
      <c r="A38" t="s">
        <v>813</v>
      </c>
      <c r="F38" s="450">
        <f>+F12</f>
        <v>3459</v>
      </c>
      <c r="G38" s="450">
        <f t="shared" ref="G38:T38" si="12">+G12</f>
        <v>3768</v>
      </c>
      <c r="H38" s="450">
        <f t="shared" si="12"/>
        <v>4375</v>
      </c>
      <c r="I38" s="450">
        <f t="shared" si="12"/>
        <v>1985.25</v>
      </c>
      <c r="J38" s="450">
        <f t="shared" si="12"/>
        <v>1985.25</v>
      </c>
      <c r="K38" s="450">
        <f t="shared" si="12"/>
        <v>3970.5</v>
      </c>
      <c r="L38" s="450">
        <f t="shared" si="12"/>
        <v>3970.5</v>
      </c>
      <c r="M38" s="450">
        <f t="shared" si="12"/>
        <v>3970.5</v>
      </c>
      <c r="N38" s="450">
        <f t="shared" si="12"/>
        <v>3970.5</v>
      </c>
      <c r="O38" s="450">
        <f t="shared" si="12"/>
        <v>3970.5</v>
      </c>
      <c r="P38" s="450">
        <f t="shared" si="12"/>
        <v>3970.5</v>
      </c>
      <c r="Q38" s="450">
        <f t="shared" si="12"/>
        <v>3970.5</v>
      </c>
      <c r="R38" s="450">
        <f t="shared" si="12"/>
        <v>3970.5</v>
      </c>
      <c r="S38" s="450">
        <f t="shared" si="12"/>
        <v>3970.5</v>
      </c>
      <c r="T38" s="450">
        <f t="shared" si="12"/>
        <v>3970.5</v>
      </c>
      <c r="U38" s="450"/>
    </row>
    <row r="40" spans="1:21" x14ac:dyDescent="0.2">
      <c r="A40" s="133">
        <v>0.04</v>
      </c>
      <c r="B40" t="s">
        <v>266</v>
      </c>
      <c r="F40" s="651">
        <f>+F38/$A$40</f>
        <v>86475</v>
      </c>
      <c r="G40" s="450">
        <f t="shared" ref="G40:T40" si="13">+G38/$A$40</f>
        <v>94200</v>
      </c>
      <c r="H40" s="450">
        <f t="shared" si="13"/>
        <v>109375</v>
      </c>
      <c r="I40" s="450">
        <f t="shared" si="13"/>
        <v>49631.25</v>
      </c>
      <c r="J40" s="450">
        <f t="shared" si="13"/>
        <v>49631.25</v>
      </c>
      <c r="K40" s="450">
        <f t="shared" si="13"/>
        <v>99262.5</v>
      </c>
      <c r="L40" s="450">
        <f t="shared" si="13"/>
        <v>99262.5</v>
      </c>
      <c r="M40" s="450">
        <f t="shared" si="13"/>
        <v>99262.5</v>
      </c>
      <c r="N40" s="450">
        <f t="shared" si="13"/>
        <v>99262.5</v>
      </c>
      <c r="O40" s="450">
        <f t="shared" si="13"/>
        <v>99262.5</v>
      </c>
      <c r="P40" s="450">
        <f t="shared" si="13"/>
        <v>99262.5</v>
      </c>
      <c r="Q40" s="450">
        <f t="shared" si="13"/>
        <v>99262.5</v>
      </c>
      <c r="R40" s="450">
        <f t="shared" si="13"/>
        <v>99262.5</v>
      </c>
      <c r="S40" s="450">
        <f t="shared" si="13"/>
        <v>99262.5</v>
      </c>
      <c r="T40" s="450">
        <f t="shared" si="13"/>
        <v>99262.5</v>
      </c>
    </row>
    <row r="41" spans="1:21" x14ac:dyDescent="0.2">
      <c r="B41" t="s">
        <v>395</v>
      </c>
      <c r="F41" s="437">
        <f>-F40*(1-$A$40)</f>
        <v>-83016</v>
      </c>
      <c r="G41" s="437">
        <f t="shared" ref="G41:T41" si="14">-G40*(1-$A$40)</f>
        <v>-90432</v>
      </c>
      <c r="H41" s="437">
        <f t="shared" si="14"/>
        <v>-105000</v>
      </c>
      <c r="I41" s="437">
        <f t="shared" si="14"/>
        <v>-47646</v>
      </c>
      <c r="J41" s="437">
        <f t="shared" si="14"/>
        <v>-47646</v>
      </c>
      <c r="K41" s="437">
        <f t="shared" si="14"/>
        <v>-95292</v>
      </c>
      <c r="L41" s="437">
        <f t="shared" si="14"/>
        <v>-95292</v>
      </c>
      <c r="M41" s="437">
        <f t="shared" si="14"/>
        <v>-95292</v>
      </c>
      <c r="N41" s="437">
        <f t="shared" si="14"/>
        <v>-95292</v>
      </c>
      <c r="O41" s="437">
        <f t="shared" si="14"/>
        <v>-95292</v>
      </c>
      <c r="P41" s="437">
        <f t="shared" si="14"/>
        <v>-95292</v>
      </c>
      <c r="Q41" s="437">
        <f t="shared" si="14"/>
        <v>-95292</v>
      </c>
      <c r="R41" s="437">
        <f t="shared" si="14"/>
        <v>-95292</v>
      </c>
      <c r="S41" s="437">
        <f t="shared" si="14"/>
        <v>-95292</v>
      </c>
      <c r="T41" s="437">
        <f t="shared" si="14"/>
        <v>-95292</v>
      </c>
    </row>
    <row r="42" spans="1:21" x14ac:dyDescent="0.2">
      <c r="B42" t="s">
        <v>800</v>
      </c>
      <c r="F42" s="450">
        <f>SUM(F40:F41)</f>
        <v>3459</v>
      </c>
      <c r="G42" s="450">
        <f t="shared" ref="G42:T42" si="15">SUM(G40:G41)</f>
        <v>3768</v>
      </c>
      <c r="H42" s="450">
        <f t="shared" si="15"/>
        <v>4375</v>
      </c>
      <c r="I42" s="450">
        <f t="shared" si="15"/>
        <v>1985.25</v>
      </c>
      <c r="J42" s="450">
        <f t="shared" si="15"/>
        <v>1985.25</v>
      </c>
      <c r="K42" s="450">
        <f t="shared" si="15"/>
        <v>3970.5</v>
      </c>
      <c r="L42" s="450">
        <f t="shared" si="15"/>
        <v>3970.5</v>
      </c>
      <c r="M42" s="450">
        <f t="shared" si="15"/>
        <v>3970.5</v>
      </c>
      <c r="N42" s="450">
        <f t="shared" si="15"/>
        <v>3970.5</v>
      </c>
      <c r="O42" s="450">
        <f t="shared" si="15"/>
        <v>3970.5</v>
      </c>
      <c r="P42" s="450">
        <f t="shared" si="15"/>
        <v>3970.5</v>
      </c>
      <c r="Q42" s="450">
        <f t="shared" si="15"/>
        <v>3970.5</v>
      </c>
      <c r="R42" s="450">
        <f t="shared" si="15"/>
        <v>3970.5</v>
      </c>
      <c r="S42" s="450">
        <f t="shared" si="15"/>
        <v>3970.5</v>
      </c>
      <c r="T42" s="450">
        <f t="shared" si="15"/>
        <v>3970.5</v>
      </c>
    </row>
    <row r="44" spans="1:21" x14ac:dyDescent="0.2">
      <c r="A44" t="s">
        <v>814</v>
      </c>
    </row>
    <row r="45" spans="1:21" x14ac:dyDescent="0.2">
      <c r="B45" t="s">
        <v>406</v>
      </c>
      <c r="D45" s="224">
        <v>66</v>
      </c>
      <c r="F45" s="651">
        <f>+F40*($D$45/365)</f>
        <v>15636.575342465754</v>
      </c>
      <c r="G45" s="651">
        <f t="shared" ref="G45:T45" si="16">+G40*($D$45/365)</f>
        <v>17033.424657534248</v>
      </c>
      <c r="H45" s="651">
        <f t="shared" si="16"/>
        <v>19777.397260273974</v>
      </c>
      <c r="I45" s="651">
        <f>+I40*($D$45/180)</f>
        <v>18198.125</v>
      </c>
      <c r="J45" s="651">
        <f>+J40*($D$45/180)</f>
        <v>18198.125</v>
      </c>
      <c r="K45" s="651">
        <f t="shared" si="16"/>
        <v>17948.835616438359</v>
      </c>
      <c r="L45" s="651">
        <f t="shared" si="16"/>
        <v>17948.835616438359</v>
      </c>
      <c r="M45" s="651">
        <f t="shared" si="16"/>
        <v>17948.835616438359</v>
      </c>
      <c r="N45" s="651">
        <f t="shared" si="16"/>
        <v>17948.835616438359</v>
      </c>
      <c r="O45" s="651">
        <f t="shared" si="16"/>
        <v>17948.835616438359</v>
      </c>
      <c r="P45" s="651">
        <f t="shared" si="16"/>
        <v>17948.835616438359</v>
      </c>
      <c r="Q45" s="651">
        <f t="shared" si="16"/>
        <v>17948.835616438359</v>
      </c>
      <c r="R45" s="651">
        <f t="shared" si="16"/>
        <v>17948.835616438359</v>
      </c>
      <c r="S45" s="651">
        <f t="shared" si="16"/>
        <v>17948.835616438359</v>
      </c>
      <c r="T45" s="651">
        <f t="shared" si="16"/>
        <v>17948.835616438359</v>
      </c>
    </row>
    <row r="46" spans="1:21" x14ac:dyDescent="0.2">
      <c r="B46" t="s">
        <v>252</v>
      </c>
      <c r="D46" s="224">
        <v>15</v>
      </c>
      <c r="F46" s="651">
        <f>-F41*($D$46/365)</f>
        <v>3411.6164383561641</v>
      </c>
      <c r="G46" s="651">
        <f t="shared" ref="G46:T46" si="17">-G41*($D$46/365)</f>
        <v>3716.3835616438355</v>
      </c>
      <c r="H46" s="651">
        <f t="shared" si="17"/>
        <v>4315.0684931506848</v>
      </c>
      <c r="I46" s="651">
        <f>-I41*($D$46/180)</f>
        <v>3970.5</v>
      </c>
      <c r="J46" s="651">
        <f>-J41*($D$46/180)</f>
        <v>3970.5</v>
      </c>
      <c r="K46" s="651">
        <f t="shared" si="17"/>
        <v>3916.1095890410957</v>
      </c>
      <c r="L46" s="651">
        <f t="shared" si="17"/>
        <v>3916.1095890410957</v>
      </c>
      <c r="M46" s="651">
        <f t="shared" si="17"/>
        <v>3916.1095890410957</v>
      </c>
      <c r="N46" s="651">
        <f t="shared" si="17"/>
        <v>3916.1095890410957</v>
      </c>
      <c r="O46" s="651">
        <f t="shared" si="17"/>
        <v>3916.1095890410957</v>
      </c>
      <c r="P46" s="651">
        <f t="shared" si="17"/>
        <v>3916.1095890410957</v>
      </c>
      <c r="Q46" s="651">
        <f t="shared" si="17"/>
        <v>3916.1095890410957</v>
      </c>
      <c r="R46" s="651">
        <f t="shared" si="17"/>
        <v>3916.1095890410957</v>
      </c>
      <c r="S46" s="651">
        <f t="shared" si="17"/>
        <v>3916.1095890410957</v>
      </c>
      <c r="T46" s="651">
        <f t="shared" si="17"/>
        <v>3916.1095890410957</v>
      </c>
    </row>
    <row r="47" spans="1:21" x14ac:dyDescent="0.2">
      <c r="B47" t="s">
        <v>16</v>
      </c>
      <c r="D47" s="224">
        <v>20</v>
      </c>
      <c r="F47" s="651">
        <f>+F42*($D$47/365)</f>
        <v>189.53424657534245</v>
      </c>
      <c r="G47" s="651">
        <f t="shared" ref="G47:T47" si="18">+G42*($D$47/365)</f>
        <v>206.46575342465752</v>
      </c>
      <c r="H47" s="651">
        <f t="shared" si="18"/>
        <v>239.72602739726025</v>
      </c>
      <c r="I47" s="651">
        <f>+I42*($D$47/180)</f>
        <v>220.58333333333331</v>
      </c>
      <c r="J47" s="651">
        <f>+J42*($D$47/180)</f>
        <v>220.58333333333331</v>
      </c>
      <c r="K47" s="651">
        <f t="shared" si="18"/>
        <v>217.56164383561642</v>
      </c>
      <c r="L47" s="651">
        <f t="shared" si="18"/>
        <v>217.56164383561642</v>
      </c>
      <c r="M47" s="651">
        <f t="shared" si="18"/>
        <v>217.56164383561642</v>
      </c>
      <c r="N47" s="651">
        <f t="shared" si="18"/>
        <v>217.56164383561642</v>
      </c>
      <c r="O47" s="651">
        <f t="shared" si="18"/>
        <v>217.56164383561642</v>
      </c>
      <c r="P47" s="651">
        <f t="shared" si="18"/>
        <v>217.56164383561642</v>
      </c>
      <c r="Q47" s="651">
        <f t="shared" si="18"/>
        <v>217.56164383561642</v>
      </c>
      <c r="R47" s="651">
        <f t="shared" si="18"/>
        <v>217.56164383561642</v>
      </c>
      <c r="S47" s="651">
        <f t="shared" si="18"/>
        <v>217.56164383561642</v>
      </c>
      <c r="T47" s="651">
        <f t="shared" si="18"/>
        <v>217.56164383561642</v>
      </c>
    </row>
    <row r="49" spans="2:20" x14ac:dyDescent="0.2">
      <c r="B49" t="s">
        <v>100</v>
      </c>
      <c r="F49" s="450">
        <f>+F45+F46-F47</f>
        <v>18858.657534246577</v>
      </c>
      <c r="G49" s="450">
        <f t="shared" ref="G49:T49" si="19">+G45+G46-G47</f>
        <v>20543.342465753427</v>
      </c>
      <c r="H49" s="450">
        <f t="shared" si="19"/>
        <v>23852.739726027397</v>
      </c>
      <c r="I49" s="450">
        <f t="shared" si="19"/>
        <v>21948.041666666668</v>
      </c>
      <c r="J49" s="450">
        <f t="shared" si="19"/>
        <v>21948.041666666668</v>
      </c>
      <c r="K49" s="450">
        <f t="shared" si="19"/>
        <v>21647.383561643837</v>
      </c>
      <c r="L49" s="450">
        <f t="shared" si="19"/>
        <v>21647.383561643837</v>
      </c>
      <c r="M49" s="450">
        <f t="shared" si="19"/>
        <v>21647.383561643837</v>
      </c>
      <c r="N49" s="450">
        <f t="shared" si="19"/>
        <v>21647.383561643837</v>
      </c>
      <c r="O49" s="450">
        <f t="shared" si="19"/>
        <v>21647.383561643837</v>
      </c>
      <c r="P49" s="450">
        <f t="shared" si="19"/>
        <v>21647.383561643837</v>
      </c>
      <c r="Q49" s="450">
        <f t="shared" si="19"/>
        <v>21647.383561643837</v>
      </c>
      <c r="R49" s="450">
        <f t="shared" si="19"/>
        <v>21647.383561643837</v>
      </c>
      <c r="S49" s="450">
        <f t="shared" si="19"/>
        <v>21647.383561643837</v>
      </c>
      <c r="T49" s="450">
        <f t="shared" si="19"/>
        <v>21647.383561643837</v>
      </c>
    </row>
    <row r="50" spans="2:20" x14ac:dyDescent="0.2">
      <c r="B50" t="s">
        <v>583</v>
      </c>
      <c r="G50" s="450">
        <f>+F49-G49</f>
        <v>-1684.6849315068503</v>
      </c>
      <c r="H50" s="450">
        <f t="shared" ref="H50:T50" si="20">+G49-H49</f>
        <v>-3309.3972602739705</v>
      </c>
      <c r="I50" s="450">
        <f t="shared" si="20"/>
        <v>1904.6980593607295</v>
      </c>
      <c r="J50" s="450">
        <f t="shared" si="20"/>
        <v>0</v>
      </c>
      <c r="K50" s="450">
        <f t="shared" si="20"/>
        <v>300.65810502283057</v>
      </c>
      <c r="L50" s="450">
        <f t="shared" si="20"/>
        <v>0</v>
      </c>
      <c r="M50" s="450">
        <f t="shared" si="20"/>
        <v>0</v>
      </c>
      <c r="N50" s="450">
        <f t="shared" si="20"/>
        <v>0</v>
      </c>
      <c r="O50" s="450">
        <f t="shared" si="20"/>
        <v>0</v>
      </c>
      <c r="P50" s="450">
        <f t="shared" si="20"/>
        <v>0</v>
      </c>
      <c r="Q50" s="450">
        <f t="shared" si="20"/>
        <v>0</v>
      </c>
      <c r="R50" s="450">
        <f t="shared" si="20"/>
        <v>0</v>
      </c>
      <c r="S50" s="450">
        <f t="shared" si="20"/>
        <v>0</v>
      </c>
      <c r="T50" s="450">
        <f t="shared" si="20"/>
        <v>0</v>
      </c>
    </row>
  </sheetData>
  <printOptions horizontalCentered="1"/>
  <pageMargins left="0.25" right="0.25" top="0.53" bottom="1" header="0.5" footer="0.5"/>
  <pageSetup scale="70" orientation="landscape" verticalDpi="200" r:id="rId1"/>
  <headerFooter alignWithMargins="0">
    <oddFooter>&amp;L&amp;7&amp;D &amp;T&amp;C&amp;8&amp;P&amp;R&amp;7o:/Corpdev/North America/Raul/Ammonia/&amp;F</oddFooter>
  </headerFooter>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58"/>
  <sheetViews>
    <sheetView topLeftCell="A7" zoomScaleNormal="100" workbookViewId="0">
      <selection activeCell="B33" sqref="B33"/>
    </sheetView>
  </sheetViews>
  <sheetFormatPr defaultRowHeight="12.75" x14ac:dyDescent="0.2"/>
  <cols>
    <col min="4" max="4" width="11.28515625" bestFit="1" customWidth="1"/>
    <col min="5" max="5" width="10.85546875" bestFit="1" customWidth="1"/>
    <col min="6" max="6" width="10.5703125" bestFit="1" customWidth="1"/>
    <col min="7" max="7" width="11.140625" bestFit="1" customWidth="1"/>
    <col min="8" max="8" width="10.85546875" bestFit="1" customWidth="1"/>
    <col min="9" max="9" width="10.140625" bestFit="1" customWidth="1"/>
    <col min="10" max="10" width="10.85546875" bestFit="1" customWidth="1"/>
    <col min="11" max="11" width="11.140625" bestFit="1" customWidth="1"/>
    <col min="12" max="14" width="9.7109375" bestFit="1" customWidth="1"/>
  </cols>
  <sheetData>
    <row r="1" spans="1:42" ht="21" thickBot="1" x14ac:dyDescent="0.35">
      <c r="A1" s="365" t="s">
        <v>518</v>
      </c>
      <c r="B1" s="339"/>
      <c r="C1" s="339"/>
      <c r="D1" s="340"/>
      <c r="E1" s="340"/>
      <c r="F1" s="360"/>
      <c r="G1" s="360"/>
      <c r="H1" s="360"/>
      <c r="I1" s="360"/>
      <c r="J1" s="360"/>
      <c r="K1" s="360"/>
      <c r="L1" s="360"/>
      <c r="M1" s="360"/>
      <c r="N1" s="360"/>
      <c r="O1" s="774" t="s">
        <v>943</v>
      </c>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row>
    <row r="2" spans="1:42" ht="26.25" x14ac:dyDescent="0.4">
      <c r="A2" s="358"/>
      <c r="B2" s="388"/>
      <c r="C2" s="388"/>
      <c r="D2" s="389"/>
      <c r="E2" s="389"/>
      <c r="F2" s="359"/>
      <c r="O2" s="786" t="s">
        <v>659</v>
      </c>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row>
    <row r="3" spans="1:42" ht="26.25" x14ac:dyDescent="0.4">
      <c r="A3" s="358"/>
      <c r="B3" s="388"/>
      <c r="C3" s="388"/>
      <c r="D3" s="389"/>
      <c r="E3" s="389"/>
      <c r="F3" s="359"/>
      <c r="O3" s="786"/>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row>
    <row r="4" spans="1:42" ht="26.25" x14ac:dyDescent="0.4">
      <c r="A4" s="358"/>
      <c r="B4" s="388"/>
      <c r="C4" s="388"/>
      <c r="D4" s="389"/>
      <c r="E4" s="389"/>
      <c r="F4" s="359"/>
      <c r="O4" s="786"/>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row>
    <row r="5" spans="1:42" x14ac:dyDescent="0.2">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row>
    <row r="6" spans="1:42" ht="15.75" x14ac:dyDescent="0.25">
      <c r="A6" s="181" t="s">
        <v>941</v>
      </c>
      <c r="D6" s="758">
        <v>37072</v>
      </c>
      <c r="E6" s="758">
        <v>37257</v>
      </c>
      <c r="F6" s="758">
        <v>37622</v>
      </c>
      <c r="G6" s="758">
        <v>37987</v>
      </c>
      <c r="H6" s="758">
        <v>38353</v>
      </c>
      <c r="I6" s="758">
        <v>38718</v>
      </c>
      <c r="J6" s="758">
        <v>39083</v>
      </c>
      <c r="K6" s="758">
        <v>39448</v>
      </c>
      <c r="L6" s="758">
        <v>39814</v>
      </c>
      <c r="M6" s="758">
        <v>40179</v>
      </c>
      <c r="N6" s="758">
        <v>40544</v>
      </c>
      <c r="O6" s="169"/>
      <c r="P6" s="169"/>
      <c r="Q6" s="169"/>
      <c r="R6" s="169"/>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row>
    <row r="7" spans="1:42" x14ac:dyDescent="0.2">
      <c r="O7" s="169"/>
      <c r="P7" s="169"/>
      <c r="Q7" s="169"/>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row>
    <row r="8" spans="1:42" x14ac:dyDescent="0.2">
      <c r="A8" s="80" t="s">
        <v>935</v>
      </c>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row>
    <row r="9" spans="1:42" x14ac:dyDescent="0.2">
      <c r="E9" s="169"/>
      <c r="F9" s="169"/>
      <c r="G9" s="169"/>
      <c r="H9" s="169"/>
      <c r="I9" s="169"/>
      <c r="J9" s="169"/>
      <c r="K9" s="169"/>
      <c r="L9" s="169"/>
      <c r="M9" s="169"/>
      <c r="N9" s="169"/>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row>
    <row r="10" spans="1:42" x14ac:dyDescent="0.2">
      <c r="A10" t="s">
        <v>939</v>
      </c>
      <c r="D10" s="801">
        <f ca="1">Dep!A64</f>
        <v>23779.965131541117</v>
      </c>
      <c r="E10" s="801">
        <f ca="1">D13</f>
        <v>23383.632379348765</v>
      </c>
      <c r="F10" s="801">
        <f t="shared" ref="F10:N10" ca="1" si="0">E13</f>
        <v>22590.966874964062</v>
      </c>
      <c r="G10" s="801">
        <f t="shared" ca="1" si="0"/>
        <v>21798.30137057936</v>
      </c>
      <c r="H10" s="801">
        <f t="shared" ca="1" si="0"/>
        <v>21005.635866194658</v>
      </c>
      <c r="I10" s="801">
        <f t="shared" ca="1" si="0"/>
        <v>20212.970361809956</v>
      </c>
      <c r="J10" s="801">
        <f t="shared" ca="1" si="0"/>
        <v>19420.304857425253</v>
      </c>
      <c r="K10" s="801">
        <f t="shared" ca="1" si="0"/>
        <v>18627.639353040551</v>
      </c>
      <c r="L10" s="801">
        <f t="shared" ca="1" si="0"/>
        <v>17834.973848655849</v>
      </c>
      <c r="M10" s="801">
        <f t="shared" ca="1" si="0"/>
        <v>17042.308344271147</v>
      </c>
      <c r="N10" s="801">
        <f t="shared" ca="1" si="0"/>
        <v>16249.642839886443</v>
      </c>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row>
    <row r="11" spans="1:42" x14ac:dyDescent="0.2">
      <c r="A11" t="s">
        <v>271</v>
      </c>
      <c r="D11" s="169">
        <v>0</v>
      </c>
      <c r="E11" s="169">
        <v>0</v>
      </c>
      <c r="F11" s="169">
        <v>0</v>
      </c>
      <c r="G11" s="169">
        <v>0</v>
      </c>
      <c r="H11" s="169">
        <v>0</v>
      </c>
      <c r="I11" s="169">
        <v>0</v>
      </c>
      <c r="J11" s="169">
        <v>0</v>
      </c>
      <c r="K11" s="169">
        <v>0</v>
      </c>
      <c r="L11" s="169">
        <v>0</v>
      </c>
      <c r="M11" s="169">
        <v>0</v>
      </c>
      <c r="N11" s="169">
        <v>0</v>
      </c>
      <c r="O11" s="169"/>
      <c r="P11" s="169"/>
      <c r="Q11" s="169"/>
      <c r="R11" s="169"/>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row>
    <row r="12" spans="1:42" x14ac:dyDescent="0.2">
      <c r="A12" t="s">
        <v>936</v>
      </c>
      <c r="D12" s="79">
        <f ca="1">-'Rail Ops'!J25</f>
        <v>-396.33275219235196</v>
      </c>
      <c r="E12" s="79">
        <f ca="1">-'Rail Ops'!K25</f>
        <v>-792.66550438470392</v>
      </c>
      <c r="F12" s="79">
        <f ca="1">-'Rail Ops'!L25</f>
        <v>-792.66550438470392</v>
      </c>
      <c r="G12" s="79">
        <f ca="1">-'Rail Ops'!M25</f>
        <v>-792.66550438470392</v>
      </c>
      <c r="H12" s="79">
        <f ca="1">-'Rail Ops'!N25</f>
        <v>-792.66550438470392</v>
      </c>
      <c r="I12" s="79">
        <f ca="1">-'Rail Ops'!O25</f>
        <v>-792.66550438470392</v>
      </c>
      <c r="J12" s="79">
        <f ca="1">-'Rail Ops'!P25</f>
        <v>-792.66550438470392</v>
      </c>
      <c r="K12" s="79">
        <f ca="1">-'Rail Ops'!Q25</f>
        <v>-792.66550438470392</v>
      </c>
      <c r="L12" s="79">
        <f ca="1">-'Rail Ops'!R25</f>
        <v>-792.66550438470392</v>
      </c>
      <c r="M12" s="79">
        <f ca="1">-'Rail Ops'!S25</f>
        <v>-792.66550438470392</v>
      </c>
      <c r="N12" s="79">
        <f ca="1">-'Rail Ops'!T25</f>
        <v>-792.66550438470392</v>
      </c>
      <c r="O12" s="169"/>
      <c r="P12" s="169"/>
      <c r="Q12" s="169"/>
      <c r="R12" s="169"/>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row>
    <row r="13" spans="1:42" x14ac:dyDescent="0.2">
      <c r="A13" t="s">
        <v>937</v>
      </c>
      <c r="D13" s="801">
        <f t="shared" ref="D13:N13" ca="1" si="1">SUM(D10:D12)</f>
        <v>23383.632379348765</v>
      </c>
      <c r="E13" s="801">
        <f t="shared" ca="1" si="1"/>
        <v>22590.966874964062</v>
      </c>
      <c r="F13" s="801">
        <f t="shared" ca="1" si="1"/>
        <v>21798.30137057936</v>
      </c>
      <c r="G13" s="801">
        <f t="shared" ca="1" si="1"/>
        <v>21005.635866194658</v>
      </c>
      <c r="H13" s="801">
        <f t="shared" ca="1" si="1"/>
        <v>20212.970361809956</v>
      </c>
      <c r="I13" s="801">
        <f t="shared" ca="1" si="1"/>
        <v>19420.304857425253</v>
      </c>
      <c r="J13" s="801">
        <f t="shared" ca="1" si="1"/>
        <v>18627.639353040551</v>
      </c>
      <c r="K13" s="801">
        <f t="shared" ca="1" si="1"/>
        <v>17834.973848655849</v>
      </c>
      <c r="L13" s="801">
        <f t="shared" ca="1" si="1"/>
        <v>17042.308344271147</v>
      </c>
      <c r="M13" s="801">
        <f t="shared" ca="1" si="1"/>
        <v>16249.642839886443</v>
      </c>
      <c r="N13" s="801">
        <f t="shared" ca="1" si="1"/>
        <v>15456.977335501739</v>
      </c>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row>
    <row r="14" spans="1:42" x14ac:dyDescent="0.2">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row>
    <row r="15" spans="1:42" x14ac:dyDescent="0.2">
      <c r="A15" s="80" t="s">
        <v>938</v>
      </c>
      <c r="D15" s="169"/>
      <c r="E15" s="169"/>
      <c r="F15" s="169"/>
      <c r="G15" s="169"/>
      <c r="H15" s="169"/>
      <c r="I15" s="169"/>
      <c r="J15" s="169"/>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row>
    <row r="16" spans="1:42" x14ac:dyDescent="0.2">
      <c r="D16" s="169"/>
      <c r="E16" s="169"/>
      <c r="F16" s="169"/>
      <c r="G16" s="169"/>
      <c r="H16" s="169"/>
      <c r="I16" s="169"/>
      <c r="J16" s="169"/>
      <c r="K16" s="169"/>
      <c r="L16" s="169"/>
      <c r="M16" s="169"/>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row>
    <row r="17" spans="1:42" x14ac:dyDescent="0.2">
      <c r="A17" t="s">
        <v>939</v>
      </c>
      <c r="D17" s="801">
        <f ca="1">D10</f>
        <v>23779.965131541117</v>
      </c>
      <c r="E17" s="801">
        <f ca="1">D20</f>
        <v>22080.886622892504</v>
      </c>
      <c r="F17" s="801">
        <f t="shared" ref="F17:N17" ca="1" si="2">E20</f>
        <v>16257.173162178084</v>
      </c>
      <c r="G17" s="801">
        <f t="shared" ca="1" si="2"/>
        <v>12098.057260671543</v>
      </c>
      <c r="H17" s="801">
        <f t="shared" ca="1" si="2"/>
        <v>9127.9396157420579</v>
      </c>
      <c r="I17" s="801">
        <f t="shared" ca="1" si="2"/>
        <v>7004.3887294954366</v>
      </c>
      <c r="J17" s="801">
        <f t="shared" ca="1" si="2"/>
        <v>4883.2158397619687</v>
      </c>
      <c r="K17" s="801">
        <f t="shared" ca="1" si="2"/>
        <v>2759.664953515347</v>
      </c>
      <c r="L17" s="801">
        <f t="shared" ca="1" si="2"/>
        <v>1699.078508648613</v>
      </c>
      <c r="M17" s="801">
        <f t="shared" ca="1" si="2"/>
        <v>0</v>
      </c>
      <c r="N17" s="801">
        <f t="shared" ca="1" si="2"/>
        <v>0</v>
      </c>
      <c r="O17" s="169"/>
      <c r="P17" s="16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row>
    <row r="18" spans="1:42" x14ac:dyDescent="0.2">
      <c r="A18" t="s">
        <v>271</v>
      </c>
      <c r="D18" s="169">
        <f>D11</f>
        <v>0</v>
      </c>
      <c r="E18" s="169">
        <f t="shared" ref="E18:N18" si="3">E11</f>
        <v>0</v>
      </c>
      <c r="F18" s="169">
        <f t="shared" si="3"/>
        <v>0</v>
      </c>
      <c r="G18" s="169">
        <f t="shared" si="3"/>
        <v>0</v>
      </c>
      <c r="H18" s="169">
        <f t="shared" si="3"/>
        <v>0</v>
      </c>
      <c r="I18" s="169">
        <f t="shared" si="3"/>
        <v>0</v>
      </c>
      <c r="J18" s="169">
        <f t="shared" si="3"/>
        <v>0</v>
      </c>
      <c r="K18" s="169">
        <f t="shared" si="3"/>
        <v>0</v>
      </c>
      <c r="L18" s="169">
        <f t="shared" si="3"/>
        <v>0</v>
      </c>
      <c r="M18" s="169">
        <f t="shared" si="3"/>
        <v>0</v>
      </c>
      <c r="N18" s="169">
        <f t="shared" si="3"/>
        <v>0</v>
      </c>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row>
    <row r="19" spans="1:42" x14ac:dyDescent="0.2">
      <c r="A19" t="s">
        <v>936</v>
      </c>
      <c r="D19" s="79">
        <f ca="1">-Dep!F85/2</f>
        <v>-1699.0785086486128</v>
      </c>
      <c r="E19" s="79">
        <f ca="1">-Dep!G85</f>
        <v>-5823.7134607144199</v>
      </c>
      <c r="F19" s="79">
        <f ca="1">-Dep!H85</f>
        <v>-4159.1159015065414</v>
      </c>
      <c r="G19" s="79">
        <f ca="1">-Dep!I85</f>
        <v>-2970.1176449294853</v>
      </c>
      <c r="H19" s="79">
        <f ca="1">-Dep!J85</f>
        <v>-2123.5508862466218</v>
      </c>
      <c r="I19" s="79">
        <f ca="1">-Dep!K85</f>
        <v>-2121.1728897334679</v>
      </c>
      <c r="J19" s="79">
        <f ca="1">-Dep!L85</f>
        <v>-2123.5508862466218</v>
      </c>
      <c r="K19" s="79">
        <f ca="1">-Dep!M85</f>
        <v>-1060.5864448667339</v>
      </c>
      <c r="L19" s="79">
        <f ca="1">-Dep!N85+D19</f>
        <v>-1699.0785086486128</v>
      </c>
      <c r="M19" s="79">
        <f ca="1">-Dep!O85</f>
        <v>0</v>
      </c>
      <c r="N19" s="79">
        <f ca="1">-Dep!P85</f>
        <v>0</v>
      </c>
      <c r="O19" s="169"/>
      <c r="P19" s="169"/>
      <c r="Q19" s="169"/>
      <c r="R19" s="169"/>
      <c r="S19" s="169"/>
      <c r="T19" s="169"/>
      <c r="U19" s="169"/>
      <c r="V19" s="169"/>
      <c r="W19" s="169"/>
      <c r="X19" s="169"/>
      <c r="Y19" s="169"/>
      <c r="Z19" s="169"/>
      <c r="AA19" s="169"/>
      <c r="AB19" s="169"/>
      <c r="AC19" s="169"/>
      <c r="AD19" s="169"/>
      <c r="AE19" s="169"/>
      <c r="AF19" s="169"/>
      <c r="AG19" s="169"/>
      <c r="AH19" s="169"/>
      <c r="AI19" s="169"/>
      <c r="AJ19" s="169"/>
      <c r="AK19" s="169"/>
      <c r="AL19" s="169"/>
      <c r="AM19" s="169"/>
      <c r="AN19" s="169"/>
      <c r="AO19" s="169"/>
      <c r="AP19" s="169"/>
    </row>
    <row r="20" spans="1:42" x14ac:dyDescent="0.2">
      <c r="A20" t="s">
        <v>937</v>
      </c>
      <c r="D20" s="801">
        <f t="shared" ref="D20:N20" ca="1" si="4">SUM(D17:D19)</f>
        <v>22080.886622892504</v>
      </c>
      <c r="E20" s="801">
        <f t="shared" ca="1" si="4"/>
        <v>16257.173162178084</v>
      </c>
      <c r="F20" s="801">
        <f t="shared" ca="1" si="4"/>
        <v>12098.057260671543</v>
      </c>
      <c r="G20" s="801">
        <f t="shared" ca="1" si="4"/>
        <v>9127.9396157420579</v>
      </c>
      <c r="H20" s="801">
        <f t="shared" ca="1" si="4"/>
        <v>7004.3887294954366</v>
      </c>
      <c r="I20" s="801">
        <f t="shared" ca="1" si="4"/>
        <v>4883.2158397619687</v>
      </c>
      <c r="J20" s="801">
        <f t="shared" ca="1" si="4"/>
        <v>2759.664953515347</v>
      </c>
      <c r="K20" s="801">
        <f t="shared" ca="1" si="4"/>
        <v>1699.078508648613</v>
      </c>
      <c r="L20" s="801">
        <f t="shared" ca="1" si="4"/>
        <v>0</v>
      </c>
      <c r="M20" s="801">
        <f t="shared" ca="1" si="4"/>
        <v>0</v>
      </c>
      <c r="N20" s="801">
        <f t="shared" ca="1" si="4"/>
        <v>0</v>
      </c>
      <c r="O20" s="169"/>
      <c r="P20" s="169"/>
      <c r="Q20" s="169"/>
      <c r="R20" s="169"/>
      <c r="S20" s="169"/>
      <c r="T20" s="169"/>
      <c r="U20" s="169"/>
      <c r="V20" s="169"/>
      <c r="W20" s="169"/>
      <c r="X20" s="169"/>
      <c r="Y20" s="169"/>
      <c r="Z20" s="169"/>
      <c r="AA20" s="169"/>
      <c r="AB20" s="169"/>
      <c r="AC20" s="169"/>
      <c r="AD20" s="169"/>
      <c r="AE20" s="169"/>
      <c r="AF20" s="169"/>
      <c r="AG20" s="169"/>
      <c r="AH20" s="169"/>
      <c r="AI20" s="169"/>
      <c r="AJ20" s="169"/>
      <c r="AK20" s="169"/>
      <c r="AL20" s="169"/>
      <c r="AM20" s="169"/>
      <c r="AN20" s="169"/>
      <c r="AO20" s="169"/>
      <c r="AP20" s="169"/>
    </row>
    <row r="21" spans="1:42" x14ac:dyDescent="0.2">
      <c r="D21" s="801"/>
      <c r="E21" s="801"/>
      <c r="F21" s="801"/>
      <c r="G21" s="801"/>
      <c r="H21" s="801"/>
      <c r="I21" s="801"/>
      <c r="J21" s="801"/>
      <c r="K21" s="801"/>
      <c r="L21" s="801"/>
      <c r="M21" s="801"/>
      <c r="N21" s="801"/>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L21" s="169"/>
      <c r="AM21" s="169"/>
      <c r="AN21" s="169"/>
      <c r="AO21" s="169"/>
      <c r="AP21" s="169"/>
    </row>
    <row r="22" spans="1:42" x14ac:dyDescent="0.2">
      <c r="A22" t="s">
        <v>938</v>
      </c>
      <c r="D22" s="169">
        <f ca="1">D19</f>
        <v>-1699.0785086486128</v>
      </c>
      <c r="E22" s="169">
        <f t="shared" ref="E22:N22" ca="1" si="5">E19</f>
        <v>-5823.7134607144199</v>
      </c>
      <c r="F22" s="169">
        <f t="shared" ca="1" si="5"/>
        <v>-4159.1159015065414</v>
      </c>
      <c r="G22" s="169">
        <f t="shared" ca="1" si="5"/>
        <v>-2970.1176449294853</v>
      </c>
      <c r="H22" s="169">
        <f t="shared" ca="1" si="5"/>
        <v>-2123.5508862466218</v>
      </c>
      <c r="I22" s="169">
        <f t="shared" ca="1" si="5"/>
        <v>-2121.1728897334679</v>
      </c>
      <c r="J22" s="169">
        <f t="shared" ca="1" si="5"/>
        <v>-2123.5508862466218</v>
      </c>
      <c r="K22" s="169">
        <f t="shared" ca="1" si="5"/>
        <v>-1060.5864448667339</v>
      </c>
      <c r="L22" s="169">
        <f t="shared" ca="1" si="5"/>
        <v>-1699.0785086486128</v>
      </c>
      <c r="M22" s="169">
        <f t="shared" ca="1" si="5"/>
        <v>0</v>
      </c>
      <c r="N22" s="169">
        <f t="shared" ca="1" si="5"/>
        <v>0</v>
      </c>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s="169"/>
      <c r="AM22" s="169"/>
      <c r="AN22" s="169"/>
      <c r="AO22" s="169"/>
      <c r="AP22" s="169"/>
    </row>
    <row r="23" spans="1:42" x14ac:dyDescent="0.2">
      <c r="A23" t="s">
        <v>935</v>
      </c>
      <c r="D23" s="76">
        <f ca="1">D12</f>
        <v>-396.33275219235196</v>
      </c>
      <c r="E23" s="76">
        <f t="shared" ref="E23:N23" ca="1" si="6">E12</f>
        <v>-792.66550438470392</v>
      </c>
      <c r="F23" s="76">
        <f t="shared" ca="1" si="6"/>
        <v>-792.66550438470392</v>
      </c>
      <c r="G23" s="76">
        <f t="shared" ca="1" si="6"/>
        <v>-792.66550438470392</v>
      </c>
      <c r="H23" s="76">
        <f t="shared" ca="1" si="6"/>
        <v>-792.66550438470392</v>
      </c>
      <c r="I23" s="76">
        <f t="shared" ca="1" si="6"/>
        <v>-792.66550438470392</v>
      </c>
      <c r="J23" s="76">
        <f t="shared" ca="1" si="6"/>
        <v>-792.66550438470392</v>
      </c>
      <c r="K23" s="76">
        <f t="shared" ca="1" si="6"/>
        <v>-792.66550438470392</v>
      </c>
      <c r="L23" s="76">
        <f t="shared" ca="1" si="6"/>
        <v>-792.66550438470392</v>
      </c>
      <c r="M23" s="76">
        <f t="shared" ca="1" si="6"/>
        <v>-792.66550438470392</v>
      </c>
      <c r="N23" s="76">
        <f t="shared" ca="1" si="6"/>
        <v>-792.66550438470392</v>
      </c>
      <c r="O23" s="169"/>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row>
    <row r="24" spans="1:42" x14ac:dyDescent="0.2">
      <c r="A24" t="s">
        <v>962</v>
      </c>
      <c r="D24" s="794">
        <f ca="1">D23-D22</f>
        <v>1302.7457564562608</v>
      </c>
      <c r="E24" s="794">
        <f t="shared" ref="E24:N24" ca="1" si="7">E23-E22</f>
        <v>5031.0479563297158</v>
      </c>
      <c r="F24" s="794">
        <f t="shared" ca="1" si="7"/>
        <v>3366.4503971218373</v>
      </c>
      <c r="G24" s="794">
        <f t="shared" ca="1" si="7"/>
        <v>2177.4521405447813</v>
      </c>
      <c r="H24" s="794">
        <f t="shared" ca="1" si="7"/>
        <v>1330.8853818619177</v>
      </c>
      <c r="I24" s="794">
        <f t="shared" ca="1" si="7"/>
        <v>1328.5073853487638</v>
      </c>
      <c r="J24" s="794">
        <f t="shared" ca="1" si="7"/>
        <v>1330.8853818619177</v>
      </c>
      <c r="K24" s="794">
        <f t="shared" ca="1" si="7"/>
        <v>267.92094048203001</v>
      </c>
      <c r="L24" s="794">
        <f t="shared" ca="1" si="7"/>
        <v>906.41300426390887</v>
      </c>
      <c r="M24" s="794">
        <f t="shared" ca="1" si="7"/>
        <v>-792.66550438470392</v>
      </c>
      <c r="N24" s="794">
        <f t="shared" ca="1" si="7"/>
        <v>-792.66550438470392</v>
      </c>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c r="AM24" s="169"/>
      <c r="AN24" s="169"/>
      <c r="AO24" s="169"/>
      <c r="AP24" s="169"/>
    </row>
    <row r="25" spans="1:42" x14ac:dyDescent="0.2">
      <c r="A25" t="s">
        <v>959</v>
      </c>
      <c r="D25" s="801">
        <f ca="1">D24*Assumptions!$B$8</f>
        <v>455.96101475969124</v>
      </c>
      <c r="E25" s="801">
        <f ca="1">E24*Assumptions!$B$8</f>
        <v>1760.8667847154004</v>
      </c>
      <c r="F25" s="801">
        <f ca="1">F24*Assumptions!$B$8</f>
        <v>1178.257638992643</v>
      </c>
      <c r="G25" s="801">
        <f ca="1">G24*Assumptions!$B$8</f>
        <v>762.1082491906734</v>
      </c>
      <c r="H25" s="801">
        <f ca="1">H24*Assumptions!$B$8</f>
        <v>465.80988365167116</v>
      </c>
      <c r="I25" s="801">
        <f ca="1">I24*Assumptions!$B$8</f>
        <v>464.97758487206733</v>
      </c>
      <c r="J25" s="801">
        <f ca="1">J24*Assumptions!$B$8</f>
        <v>465.80988365167116</v>
      </c>
      <c r="K25" s="801">
        <f ca="1">K24*Assumptions!$B$8</f>
        <v>93.772329168710499</v>
      </c>
      <c r="L25" s="801">
        <f ca="1">L24*Assumptions!$B$8</f>
        <v>317.24455149236809</v>
      </c>
      <c r="M25" s="801">
        <f ca="1">M24*Assumptions!$B$8</f>
        <v>-277.43292653464636</v>
      </c>
      <c r="N25" s="801">
        <f ca="1">N24*Assumptions!$B$8</f>
        <v>-277.43292653464636</v>
      </c>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row>
    <row r="26" spans="1:42" x14ac:dyDescent="0.2">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row>
    <row r="27" spans="1:42" x14ac:dyDescent="0.2">
      <c r="E27" s="169"/>
      <c r="F27" s="169"/>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c r="AO27" s="169"/>
      <c r="AP27" s="169"/>
    </row>
    <row r="28" spans="1:42" x14ac:dyDescent="0.2">
      <c r="E28" s="169"/>
      <c r="F28" s="169"/>
      <c r="G28" s="169"/>
      <c r="H28" s="169"/>
      <c r="I28" s="169"/>
      <c r="J28" s="169"/>
      <c r="K28" s="169"/>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69"/>
      <c r="AL28" s="169"/>
      <c r="AM28" s="169"/>
      <c r="AN28" s="169"/>
      <c r="AO28" s="169"/>
      <c r="AP28" s="169"/>
    </row>
    <row r="29" spans="1:42" x14ac:dyDescent="0.2">
      <c r="E29" s="169"/>
      <c r="F29" s="169"/>
      <c r="G29" s="169"/>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row>
    <row r="30" spans="1:42" x14ac:dyDescent="0.2">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c r="AO30" s="169"/>
      <c r="AP30" s="169"/>
    </row>
    <row r="31" spans="1:42" x14ac:dyDescent="0.2">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row>
    <row r="32" spans="1:42" x14ac:dyDescent="0.2">
      <c r="E32" s="169"/>
      <c r="F32" s="169"/>
      <c r="G32" s="169"/>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row>
    <row r="33" spans="5:42" x14ac:dyDescent="0.2">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row>
    <row r="34" spans="5:42" x14ac:dyDescent="0.2">
      <c r="E34" s="169"/>
      <c r="F34" s="169"/>
      <c r="G34" s="169"/>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row>
    <row r="35" spans="5:42" x14ac:dyDescent="0.2">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row>
    <row r="36" spans="5:42" x14ac:dyDescent="0.2">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row>
    <row r="37" spans="5:42" x14ac:dyDescent="0.2">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c r="AO37" s="169"/>
      <c r="AP37" s="169"/>
    </row>
    <row r="38" spans="5:42" x14ac:dyDescent="0.2">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69"/>
      <c r="AM38" s="169"/>
      <c r="AN38" s="169"/>
      <c r="AO38" s="169"/>
      <c r="AP38" s="169"/>
    </row>
    <row r="39" spans="5:42" x14ac:dyDescent="0.2">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69"/>
      <c r="AL39" s="169"/>
      <c r="AM39" s="169"/>
      <c r="AN39" s="169"/>
      <c r="AO39" s="169"/>
      <c r="AP39" s="169"/>
    </row>
    <row r="40" spans="5:42" x14ac:dyDescent="0.2">
      <c r="E40" s="169"/>
      <c r="F40" s="169"/>
      <c r="G40" s="169"/>
      <c r="H40" s="169"/>
      <c r="I40" s="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c r="AL40" s="169"/>
      <c r="AM40" s="169"/>
      <c r="AN40" s="169"/>
      <c r="AO40" s="169"/>
      <c r="AP40" s="169"/>
    </row>
    <row r="41" spans="5:42" x14ac:dyDescent="0.2">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row>
    <row r="42" spans="5:42" x14ac:dyDescent="0.2">
      <c r="E42" s="169"/>
      <c r="F42" s="169"/>
      <c r="G42" s="169"/>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row>
    <row r="43" spans="5:42" x14ac:dyDescent="0.2">
      <c r="E43" s="169"/>
      <c r="F43" s="169"/>
      <c r="G43" s="169"/>
      <c r="H43" s="169"/>
      <c r="I43" s="169"/>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row>
    <row r="44" spans="5:42" x14ac:dyDescent="0.2">
      <c r="E44" s="169"/>
      <c r="F44" s="169"/>
      <c r="G44" s="169"/>
      <c r="H44" s="169"/>
      <c r="I44" s="169"/>
      <c r="J44" s="169"/>
      <c r="K44" s="169"/>
      <c r="L44" s="169"/>
      <c r="M44" s="169"/>
      <c r="N44" s="169"/>
      <c r="O44" s="169"/>
      <c r="P44" s="169"/>
      <c r="Q44" s="169"/>
      <c r="R44" s="169"/>
      <c r="S44" s="169"/>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row>
    <row r="45" spans="5:42" x14ac:dyDescent="0.2">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row>
    <row r="46" spans="5:42" x14ac:dyDescent="0.2">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c r="AE46" s="169"/>
      <c r="AF46" s="169"/>
      <c r="AG46" s="169"/>
      <c r="AH46" s="169"/>
      <c r="AI46" s="169"/>
      <c r="AJ46" s="169"/>
      <c r="AK46" s="169"/>
      <c r="AL46" s="169"/>
      <c r="AM46" s="169"/>
      <c r="AN46" s="169"/>
      <c r="AO46" s="169"/>
      <c r="AP46" s="169"/>
    </row>
    <row r="47" spans="5:42" x14ac:dyDescent="0.2">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row>
    <row r="48" spans="5:42" x14ac:dyDescent="0.2">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row>
    <row r="49" spans="5:42" x14ac:dyDescent="0.2">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row>
    <row r="50" spans="5:42" x14ac:dyDescent="0.2">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row>
    <row r="51" spans="5:42" x14ac:dyDescent="0.2">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row>
    <row r="52" spans="5:42" x14ac:dyDescent="0.2">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row>
    <row r="53" spans="5:42" x14ac:dyDescent="0.2">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row>
    <row r="54" spans="5:42" x14ac:dyDescent="0.2">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row>
    <row r="55" spans="5:42" x14ac:dyDescent="0.2">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row>
    <row r="56" spans="5:42" x14ac:dyDescent="0.2">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row>
    <row r="57" spans="5:42" x14ac:dyDescent="0.2">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row>
    <row r="58" spans="5:42" x14ac:dyDescent="0.2">
      <c r="E58" s="169"/>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row>
    <row r="59" spans="5:42" x14ac:dyDescent="0.2">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row>
    <row r="60" spans="5:42" x14ac:dyDescent="0.2">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row>
    <row r="61" spans="5:42" x14ac:dyDescent="0.2">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row>
    <row r="62" spans="5:42" x14ac:dyDescent="0.2">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row>
    <row r="63" spans="5:42" x14ac:dyDescent="0.2">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row>
    <row r="64" spans="5:42" x14ac:dyDescent="0.2">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row>
    <row r="65" spans="5:42" x14ac:dyDescent="0.2">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row>
    <row r="66" spans="5:42" x14ac:dyDescent="0.2">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row>
    <row r="67" spans="5:42" x14ac:dyDescent="0.2">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row>
    <row r="68" spans="5:42" x14ac:dyDescent="0.2">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row>
    <row r="69" spans="5:42" x14ac:dyDescent="0.2">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row>
    <row r="70" spans="5:42" x14ac:dyDescent="0.2">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row>
    <row r="71" spans="5:42" x14ac:dyDescent="0.2">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row>
    <row r="72" spans="5:42" x14ac:dyDescent="0.2">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row>
    <row r="73" spans="5:42" x14ac:dyDescent="0.2">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row>
    <row r="74" spans="5:42" x14ac:dyDescent="0.2">
      <c r="E74" s="169"/>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row>
    <row r="75" spans="5:42" x14ac:dyDescent="0.2">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row>
    <row r="76" spans="5:42" x14ac:dyDescent="0.2">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row>
    <row r="77" spans="5:42" x14ac:dyDescent="0.2">
      <c r="E77" s="169"/>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row>
    <row r="78" spans="5:42" x14ac:dyDescent="0.2">
      <c r="E78" s="169"/>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row>
    <row r="79" spans="5:42" x14ac:dyDescent="0.2">
      <c r="E79" s="169"/>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row>
    <row r="80" spans="5:42" x14ac:dyDescent="0.2">
      <c r="E80" s="169"/>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row>
    <row r="81" spans="5:42" x14ac:dyDescent="0.2">
      <c r="E81" s="169"/>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row>
    <row r="82" spans="5:42" x14ac:dyDescent="0.2">
      <c r="E82" s="169"/>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row>
    <row r="83" spans="5:42" x14ac:dyDescent="0.2">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row>
    <row r="84" spans="5:42" x14ac:dyDescent="0.2">
      <c r="E84" s="169"/>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row>
    <row r="85" spans="5:42" x14ac:dyDescent="0.2">
      <c r="E85" s="169"/>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row>
    <row r="86" spans="5:42" x14ac:dyDescent="0.2">
      <c r="E86" s="169"/>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row>
    <row r="87" spans="5:42" x14ac:dyDescent="0.2">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row>
    <row r="88" spans="5:42" x14ac:dyDescent="0.2">
      <c r="E88" s="169"/>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row>
    <row r="89" spans="5:42" x14ac:dyDescent="0.2">
      <c r="E89" s="169"/>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row>
    <row r="90" spans="5:42" x14ac:dyDescent="0.2">
      <c r="E90" s="169"/>
      <c r="F90" s="169"/>
      <c r="G90" s="169"/>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row>
    <row r="91" spans="5:42" x14ac:dyDescent="0.2">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row>
    <row r="92" spans="5:42" x14ac:dyDescent="0.2">
      <c r="E92" s="169"/>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row>
    <row r="93" spans="5:42" x14ac:dyDescent="0.2">
      <c r="E93" s="169"/>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row>
    <row r="94" spans="5:42" x14ac:dyDescent="0.2">
      <c r="E94" s="169"/>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row>
    <row r="95" spans="5:42" x14ac:dyDescent="0.2">
      <c r="E95" s="169"/>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row>
    <row r="96" spans="5:42" x14ac:dyDescent="0.2">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row>
    <row r="97" spans="5:42" x14ac:dyDescent="0.2">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row>
    <row r="98" spans="5:42" x14ac:dyDescent="0.2">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row>
    <row r="99" spans="5:42" x14ac:dyDescent="0.2">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row>
    <row r="100" spans="5:42" x14ac:dyDescent="0.2">
      <c r="E100" s="169"/>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row>
    <row r="101" spans="5:42" x14ac:dyDescent="0.2">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row>
    <row r="102" spans="5:42" x14ac:dyDescent="0.2">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row>
    <row r="103" spans="5:42" x14ac:dyDescent="0.2">
      <c r="E103" s="169"/>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row>
    <row r="104" spans="5:42" x14ac:dyDescent="0.2">
      <c r="E104" s="169"/>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row>
    <row r="105" spans="5:42" x14ac:dyDescent="0.2">
      <c r="E105" s="169"/>
      <c r="F105" s="169"/>
      <c r="G105" s="169"/>
      <c r="H105" s="169"/>
      <c r="I105" s="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row>
    <row r="106" spans="5:42" x14ac:dyDescent="0.2">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row>
    <row r="107" spans="5:42" x14ac:dyDescent="0.2">
      <c r="E107" s="169"/>
      <c r="F107" s="169"/>
      <c r="G107" s="169"/>
      <c r="H107" s="169"/>
      <c r="I107" s="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row>
    <row r="108" spans="5:42" x14ac:dyDescent="0.2">
      <c r="E108" s="169"/>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row>
    <row r="109" spans="5:42" x14ac:dyDescent="0.2">
      <c r="E109" s="169"/>
      <c r="F109" s="169"/>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row>
    <row r="110" spans="5:42" x14ac:dyDescent="0.2">
      <c r="E110" s="169"/>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row>
    <row r="111" spans="5:42" x14ac:dyDescent="0.2">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row>
    <row r="112" spans="5:42" x14ac:dyDescent="0.2">
      <c r="E112" s="169"/>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row>
    <row r="113" spans="5:42" x14ac:dyDescent="0.2">
      <c r="E113" s="169"/>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row>
    <row r="114" spans="5:42" x14ac:dyDescent="0.2">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row>
    <row r="115" spans="5:42" x14ac:dyDescent="0.2">
      <c r="E115" s="169"/>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row>
    <row r="116" spans="5:42" x14ac:dyDescent="0.2">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row>
    <row r="117" spans="5:42" x14ac:dyDescent="0.2">
      <c r="E117" s="169"/>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row>
    <row r="118" spans="5:42" x14ac:dyDescent="0.2">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row>
    <row r="119" spans="5:42" x14ac:dyDescent="0.2">
      <c r="E119" s="169"/>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row>
    <row r="120" spans="5:42" x14ac:dyDescent="0.2">
      <c r="E120" s="169"/>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row>
    <row r="121" spans="5:42" x14ac:dyDescent="0.2">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row>
    <row r="122" spans="5:42" x14ac:dyDescent="0.2">
      <c r="E122" s="169"/>
      <c r="F122" s="169"/>
      <c r="G122" s="169"/>
      <c r="H122" s="169"/>
      <c r="I122" s="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row>
    <row r="123" spans="5:42" x14ac:dyDescent="0.2">
      <c r="E123" s="169"/>
      <c r="F123" s="169"/>
      <c r="G123" s="169"/>
      <c r="H123" s="169"/>
      <c r="I123" s="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row>
    <row r="124" spans="5:42" x14ac:dyDescent="0.2">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row>
    <row r="125" spans="5:42" x14ac:dyDescent="0.2">
      <c r="E125" s="169"/>
      <c r="F125" s="169"/>
      <c r="G125" s="169"/>
      <c r="H125" s="169"/>
      <c r="I125" s="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row>
    <row r="126" spans="5:42" x14ac:dyDescent="0.2">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row>
    <row r="127" spans="5:42" x14ac:dyDescent="0.2">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row>
    <row r="128" spans="5:42" x14ac:dyDescent="0.2">
      <c r="E128" s="169"/>
      <c r="F128" s="169"/>
      <c r="G128" s="169"/>
      <c r="H128" s="169"/>
      <c r="I128" s="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row>
    <row r="129" spans="5:42" x14ac:dyDescent="0.2">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row>
    <row r="130" spans="5:42" x14ac:dyDescent="0.2">
      <c r="E130" s="169"/>
      <c r="F130" s="169"/>
      <c r="G130" s="169"/>
      <c r="H130" s="169"/>
      <c r="I130" s="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row>
    <row r="131" spans="5:42" x14ac:dyDescent="0.2">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row>
    <row r="132" spans="5:42" x14ac:dyDescent="0.2">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row>
    <row r="133" spans="5:42" x14ac:dyDescent="0.2">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row>
    <row r="134" spans="5:42" x14ac:dyDescent="0.2">
      <c r="E134" s="169"/>
      <c r="F134" s="169"/>
      <c r="G134" s="169"/>
      <c r="H134" s="169"/>
      <c r="I134" s="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row>
    <row r="135" spans="5:42" x14ac:dyDescent="0.2">
      <c r="E135" s="169"/>
      <c r="F135" s="169"/>
      <c r="G135" s="169"/>
      <c r="H135" s="169"/>
      <c r="I135" s="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row>
    <row r="136" spans="5:42" x14ac:dyDescent="0.2">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row>
    <row r="137" spans="5:42" x14ac:dyDescent="0.2">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row>
    <row r="138" spans="5:42" x14ac:dyDescent="0.2">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row>
    <row r="139" spans="5:42" x14ac:dyDescent="0.2">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row>
    <row r="140" spans="5:42" x14ac:dyDescent="0.2">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row>
    <row r="141" spans="5:42" x14ac:dyDescent="0.2">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row>
    <row r="142" spans="5:42" x14ac:dyDescent="0.2">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row>
    <row r="143" spans="5:42" x14ac:dyDescent="0.2">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row>
    <row r="144" spans="5:42" x14ac:dyDescent="0.2">
      <c r="E144" s="169"/>
      <c r="F144" s="169"/>
      <c r="G144" s="169"/>
      <c r="H144" s="169"/>
      <c r="I144" s="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row>
    <row r="145" spans="5:42" x14ac:dyDescent="0.2">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row>
    <row r="146" spans="5:42" x14ac:dyDescent="0.2">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row>
    <row r="147" spans="5:42" x14ac:dyDescent="0.2">
      <c r="E147" s="169"/>
      <c r="F147" s="169"/>
      <c r="G147" s="169"/>
      <c r="H147" s="169"/>
      <c r="I147" s="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row>
    <row r="148" spans="5:42" x14ac:dyDescent="0.2">
      <c r="E148" s="169"/>
      <c r="F148" s="169"/>
      <c r="G148" s="169"/>
      <c r="H148" s="169"/>
      <c r="I148" s="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row>
    <row r="149" spans="5:42" x14ac:dyDescent="0.2">
      <c r="E149" s="169"/>
      <c r="F149" s="169"/>
      <c r="G149" s="169"/>
      <c r="H149" s="169"/>
      <c r="I149" s="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row>
    <row r="150" spans="5:42" x14ac:dyDescent="0.2">
      <c r="E150" s="169"/>
      <c r="F150" s="169"/>
      <c r="G150" s="169"/>
      <c r="H150" s="169"/>
      <c r="I150" s="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row>
    <row r="151" spans="5:42" x14ac:dyDescent="0.2">
      <c r="E151" s="169"/>
      <c r="F151" s="169"/>
      <c r="G151" s="169"/>
      <c r="H151" s="169"/>
      <c r="I151" s="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row>
    <row r="152" spans="5:42" x14ac:dyDescent="0.2">
      <c r="E152" s="169"/>
      <c r="F152" s="169"/>
      <c r="G152" s="169"/>
      <c r="H152" s="169"/>
      <c r="I152" s="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row>
    <row r="153" spans="5:42" x14ac:dyDescent="0.2">
      <c r="E153" s="169"/>
      <c r="F153" s="169"/>
      <c r="G153" s="169"/>
      <c r="H153" s="169"/>
      <c r="I153" s="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row>
    <row r="154" spans="5:42" x14ac:dyDescent="0.2">
      <c r="E154" s="169"/>
      <c r="F154" s="169"/>
      <c r="G154" s="169"/>
      <c r="H154" s="169"/>
      <c r="I154" s="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row>
    <row r="155" spans="5:42" x14ac:dyDescent="0.2">
      <c r="E155" s="169"/>
      <c r="F155" s="169"/>
      <c r="G155" s="169"/>
      <c r="H155" s="169"/>
      <c r="I155" s="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row>
    <row r="156" spans="5:42" x14ac:dyDescent="0.2">
      <c r="E156" s="169"/>
      <c r="F156" s="169"/>
      <c r="G156" s="169"/>
      <c r="H156" s="169"/>
      <c r="I156" s="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row>
    <row r="157" spans="5:42" x14ac:dyDescent="0.2">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row>
    <row r="158" spans="5:42" x14ac:dyDescent="0.2">
      <c r="E158" s="169"/>
      <c r="F158" s="169"/>
      <c r="G158" s="169"/>
      <c r="H158" s="169"/>
      <c r="I158" s="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row>
    <row r="159" spans="5:42" x14ac:dyDescent="0.2">
      <c r="E159" s="169"/>
      <c r="F159" s="169"/>
      <c r="G159" s="169"/>
      <c r="H159" s="169"/>
      <c r="I159" s="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row>
    <row r="160" spans="5:42" x14ac:dyDescent="0.2">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row>
    <row r="161" spans="5:42" x14ac:dyDescent="0.2">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row>
    <row r="162" spans="5:42" x14ac:dyDescent="0.2">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row>
    <row r="163" spans="5:42" x14ac:dyDescent="0.2">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row>
    <row r="164" spans="5:42" x14ac:dyDescent="0.2">
      <c r="E164" s="169"/>
      <c r="F164" s="169"/>
      <c r="G164" s="169"/>
      <c r="H164" s="169"/>
      <c r="I164" s="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row>
    <row r="165" spans="5:42" x14ac:dyDescent="0.2">
      <c r="E165" s="169"/>
      <c r="F165" s="169"/>
      <c r="G165" s="169"/>
      <c r="H165" s="169"/>
      <c r="I165" s="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row>
    <row r="166" spans="5:42" x14ac:dyDescent="0.2">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row>
    <row r="167" spans="5:42" x14ac:dyDescent="0.2">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row>
    <row r="168" spans="5:42" x14ac:dyDescent="0.2">
      <c r="E168" s="169"/>
      <c r="F168" s="169"/>
      <c r="G168" s="169"/>
      <c r="H168" s="169"/>
      <c r="I168" s="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row>
    <row r="169" spans="5:42" x14ac:dyDescent="0.2">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row>
    <row r="170" spans="5:42" x14ac:dyDescent="0.2">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row>
    <row r="171" spans="5:42" x14ac:dyDescent="0.2">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row>
    <row r="172" spans="5:42" x14ac:dyDescent="0.2">
      <c r="E172" s="169"/>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row>
    <row r="173" spans="5:42" x14ac:dyDescent="0.2">
      <c r="E173" s="169"/>
      <c r="F173" s="169"/>
      <c r="G173" s="169"/>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row>
    <row r="174" spans="5:42" x14ac:dyDescent="0.2">
      <c r="E174" s="169"/>
      <c r="F174" s="169"/>
      <c r="G174" s="169"/>
      <c r="H174" s="169"/>
      <c r="I174" s="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row>
    <row r="175" spans="5:42" x14ac:dyDescent="0.2">
      <c r="E175" s="169"/>
      <c r="F175" s="169"/>
      <c r="G175" s="169"/>
      <c r="H175" s="169"/>
      <c r="I175" s="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row>
    <row r="176" spans="5:42" x14ac:dyDescent="0.2">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row>
    <row r="177" spans="5:42" x14ac:dyDescent="0.2">
      <c r="E177" s="169"/>
      <c r="F177" s="169"/>
      <c r="G177" s="169"/>
      <c r="H177" s="169"/>
      <c r="I177" s="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row>
    <row r="178" spans="5:42" x14ac:dyDescent="0.2">
      <c r="E178" s="169"/>
      <c r="F178" s="169"/>
      <c r="G178" s="169"/>
      <c r="H178" s="169"/>
      <c r="I178" s="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row>
    <row r="179" spans="5:42" x14ac:dyDescent="0.2">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row>
    <row r="180" spans="5:42" x14ac:dyDescent="0.2">
      <c r="E180" s="169"/>
      <c r="F180" s="169"/>
      <c r="G180" s="169"/>
      <c r="H180" s="169"/>
      <c r="I180" s="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row>
    <row r="181" spans="5:42" x14ac:dyDescent="0.2">
      <c r="E181" s="169"/>
      <c r="F181" s="169"/>
      <c r="G181" s="169"/>
      <c r="H181" s="169"/>
      <c r="I181" s="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row>
    <row r="182" spans="5:42" x14ac:dyDescent="0.2">
      <c r="E182" s="169"/>
      <c r="F182" s="169"/>
      <c r="G182" s="169"/>
      <c r="H182" s="169"/>
      <c r="I182" s="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row>
    <row r="183" spans="5:42" x14ac:dyDescent="0.2">
      <c r="E183" s="169"/>
      <c r="F183" s="169"/>
      <c r="G183" s="169"/>
      <c r="H183" s="169"/>
      <c r="I183" s="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row>
    <row r="184" spans="5:42" x14ac:dyDescent="0.2">
      <c r="E184" s="169"/>
      <c r="F184" s="169"/>
      <c r="G184" s="169"/>
      <c r="H184" s="169"/>
      <c r="I184" s="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row>
    <row r="185" spans="5:42" x14ac:dyDescent="0.2">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row>
    <row r="186" spans="5:42" x14ac:dyDescent="0.2">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row>
    <row r="187" spans="5:42" x14ac:dyDescent="0.2">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row>
    <row r="188" spans="5:42" x14ac:dyDescent="0.2">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row>
    <row r="189" spans="5:42" x14ac:dyDescent="0.2">
      <c r="E189" s="169"/>
      <c r="F189" s="169"/>
      <c r="G189" s="169"/>
      <c r="H189" s="169"/>
      <c r="I189" s="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row>
    <row r="190" spans="5:42" x14ac:dyDescent="0.2">
      <c r="E190" s="169"/>
      <c r="F190" s="169"/>
      <c r="G190" s="169"/>
      <c r="H190" s="169"/>
      <c r="I190" s="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row>
    <row r="191" spans="5:42" x14ac:dyDescent="0.2">
      <c r="E191" s="169"/>
      <c r="F191" s="169"/>
      <c r="G191" s="169"/>
      <c r="H191" s="169"/>
      <c r="I191" s="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row>
    <row r="192" spans="5:42" x14ac:dyDescent="0.2">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row>
    <row r="193" spans="5:42" x14ac:dyDescent="0.2">
      <c r="E193" s="169"/>
      <c r="F193" s="169"/>
      <c r="G193" s="169"/>
      <c r="H193" s="169"/>
      <c r="I193" s="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row>
    <row r="194" spans="5:42" x14ac:dyDescent="0.2">
      <c r="E194" s="169"/>
      <c r="F194" s="169"/>
      <c r="G194" s="169"/>
      <c r="H194" s="169"/>
      <c r="I194" s="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row>
    <row r="195" spans="5:42" x14ac:dyDescent="0.2">
      <c r="E195" s="169"/>
      <c r="F195" s="169"/>
      <c r="G195" s="169"/>
      <c r="H195" s="169"/>
      <c r="I195" s="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row>
    <row r="196" spans="5:42" x14ac:dyDescent="0.2">
      <c r="E196" s="169"/>
      <c r="F196" s="169"/>
      <c r="G196" s="169"/>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row>
    <row r="197" spans="5:42" x14ac:dyDescent="0.2">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row>
    <row r="198" spans="5:42" x14ac:dyDescent="0.2">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row>
    <row r="199" spans="5:42" x14ac:dyDescent="0.2">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row>
    <row r="200" spans="5:42" x14ac:dyDescent="0.2">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row>
    <row r="201" spans="5:42" x14ac:dyDescent="0.2">
      <c r="E201" s="169"/>
      <c r="F201" s="169"/>
      <c r="G201" s="169"/>
      <c r="H201" s="169"/>
      <c r="I201" s="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row>
    <row r="202" spans="5:42" x14ac:dyDescent="0.2">
      <c r="E202" s="169"/>
      <c r="F202" s="169"/>
      <c r="G202" s="169"/>
      <c r="H202" s="169"/>
      <c r="I202" s="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row>
    <row r="203" spans="5:42" x14ac:dyDescent="0.2">
      <c r="E203" s="169"/>
      <c r="F203" s="169"/>
      <c r="G203" s="169"/>
      <c r="H203" s="169"/>
      <c r="I203" s="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row>
    <row r="204" spans="5:42" x14ac:dyDescent="0.2">
      <c r="E204" s="169"/>
      <c r="F204" s="169"/>
      <c r="G204" s="169"/>
      <c r="H204" s="169"/>
      <c r="I204" s="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row>
    <row r="205" spans="5:42" x14ac:dyDescent="0.2">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row>
    <row r="206" spans="5:42" x14ac:dyDescent="0.2">
      <c r="E206" s="169"/>
      <c r="F206" s="169"/>
      <c r="G206" s="169"/>
      <c r="H206" s="169"/>
      <c r="I206" s="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row>
    <row r="207" spans="5:42" x14ac:dyDescent="0.2">
      <c r="E207" s="169"/>
      <c r="F207" s="169"/>
      <c r="G207" s="169"/>
      <c r="H207" s="169"/>
      <c r="I207" s="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row>
    <row r="208" spans="5:42" x14ac:dyDescent="0.2">
      <c r="E208" s="169"/>
      <c r="F208" s="169"/>
      <c r="G208" s="169"/>
      <c r="H208" s="169"/>
      <c r="I208" s="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row>
    <row r="209" spans="5:42" x14ac:dyDescent="0.2">
      <c r="E209" s="169"/>
      <c r="F209" s="169"/>
      <c r="G209" s="169"/>
      <c r="H209" s="169"/>
      <c r="I209" s="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row>
    <row r="210" spans="5:42" x14ac:dyDescent="0.2">
      <c r="E210" s="169"/>
      <c r="F210" s="169"/>
      <c r="G210" s="169"/>
      <c r="H210" s="169"/>
      <c r="I210" s="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row>
    <row r="211" spans="5:42" x14ac:dyDescent="0.2">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row>
    <row r="212" spans="5:42" x14ac:dyDescent="0.2">
      <c r="E212" s="169"/>
      <c r="F212" s="169"/>
      <c r="G212" s="169"/>
      <c r="H212" s="169"/>
      <c r="I212" s="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row>
    <row r="213" spans="5:42" x14ac:dyDescent="0.2">
      <c r="E213" s="169"/>
      <c r="F213" s="169"/>
      <c r="G213" s="169"/>
      <c r="H213" s="169"/>
      <c r="I213" s="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row>
    <row r="214" spans="5:42" x14ac:dyDescent="0.2">
      <c r="E214" s="169"/>
      <c r="F214" s="169"/>
      <c r="G214" s="169"/>
      <c r="H214" s="169"/>
      <c r="I214" s="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row>
    <row r="215" spans="5:42" x14ac:dyDescent="0.2">
      <c r="E215" s="169"/>
      <c r="F215" s="169"/>
      <c r="G215" s="169"/>
      <c r="H215" s="169"/>
      <c r="I215" s="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row>
    <row r="216" spans="5:42" x14ac:dyDescent="0.2">
      <c r="E216" s="169"/>
      <c r="F216" s="16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row>
    <row r="217" spans="5:42" x14ac:dyDescent="0.2">
      <c r="E217" s="169"/>
      <c r="F217" s="169"/>
      <c r="G217" s="169"/>
      <c r="H217" s="169"/>
      <c r="I217" s="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row>
    <row r="218" spans="5:42" x14ac:dyDescent="0.2">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row>
    <row r="219" spans="5:42" x14ac:dyDescent="0.2">
      <c r="E219" s="169"/>
      <c r="F219" s="169"/>
      <c r="G219" s="169"/>
      <c r="H219" s="169"/>
      <c r="I219" s="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row>
    <row r="220" spans="5:42" x14ac:dyDescent="0.2">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row>
    <row r="221" spans="5:42" x14ac:dyDescent="0.2">
      <c r="E221" s="169"/>
      <c r="F221" s="169"/>
      <c r="G221" s="169"/>
      <c r="H221" s="169"/>
      <c r="I221" s="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row>
    <row r="222" spans="5:42" x14ac:dyDescent="0.2">
      <c r="E222" s="169"/>
      <c r="F222" s="169"/>
      <c r="G222" s="169"/>
      <c r="H222" s="169"/>
      <c r="I222" s="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row>
    <row r="223" spans="5:42" x14ac:dyDescent="0.2">
      <c r="E223" s="169"/>
      <c r="F223" s="169"/>
      <c r="G223" s="169"/>
      <c r="H223" s="169"/>
      <c r="I223" s="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row>
    <row r="224" spans="5:42" x14ac:dyDescent="0.2">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row>
    <row r="225" spans="5:42" x14ac:dyDescent="0.2">
      <c r="E225" s="169"/>
      <c r="F225" s="169"/>
      <c r="G225" s="169"/>
      <c r="H225" s="169"/>
      <c r="I225" s="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row>
    <row r="226" spans="5:42" x14ac:dyDescent="0.2">
      <c r="E226" s="169"/>
      <c r="F226" s="169"/>
      <c r="G226" s="169"/>
      <c r="H226" s="169"/>
      <c r="I226" s="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row>
    <row r="227" spans="5:42" x14ac:dyDescent="0.2">
      <c r="E227" s="169"/>
      <c r="F227" s="169"/>
      <c r="G227" s="169"/>
      <c r="H227" s="169"/>
      <c r="I227" s="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row>
    <row r="228" spans="5:42" x14ac:dyDescent="0.2">
      <c r="E228" s="169"/>
      <c r="F228" s="169"/>
      <c r="G228" s="169"/>
      <c r="H228" s="169"/>
      <c r="I228" s="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row>
    <row r="229" spans="5:42" x14ac:dyDescent="0.2">
      <c r="E229" s="169"/>
      <c r="F229" s="169"/>
      <c r="G229" s="169"/>
      <c r="H229" s="169"/>
      <c r="I229" s="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row>
    <row r="230" spans="5:42" x14ac:dyDescent="0.2">
      <c r="E230" s="169"/>
      <c r="F230" s="169"/>
      <c r="G230" s="169"/>
      <c r="H230" s="169"/>
      <c r="I230" s="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row>
    <row r="231" spans="5:42" x14ac:dyDescent="0.2">
      <c r="E231" s="169"/>
      <c r="F231" s="169"/>
      <c r="G231" s="169"/>
      <c r="H231" s="169"/>
      <c r="I231" s="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row>
    <row r="232" spans="5:42" x14ac:dyDescent="0.2">
      <c r="E232" s="169"/>
      <c r="F232" s="169"/>
      <c r="G232" s="169"/>
      <c r="H232" s="169"/>
      <c r="I232" s="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row>
    <row r="233" spans="5:42" x14ac:dyDescent="0.2">
      <c r="E233" s="169"/>
      <c r="F233" s="169"/>
      <c r="G233" s="169"/>
      <c r="H233" s="169"/>
      <c r="I233" s="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row>
    <row r="234" spans="5:42" x14ac:dyDescent="0.2">
      <c r="E234" s="169"/>
      <c r="F234" s="169"/>
      <c r="G234" s="169"/>
      <c r="H234" s="169"/>
      <c r="I234" s="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row>
    <row r="235" spans="5:42" x14ac:dyDescent="0.2">
      <c r="E235" s="169"/>
      <c r="F235" s="169"/>
      <c r="G235" s="169"/>
      <c r="H235" s="169"/>
      <c r="I235" s="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row>
    <row r="236" spans="5:42" x14ac:dyDescent="0.2">
      <c r="E236" s="169"/>
      <c r="F236" s="169"/>
      <c r="G236" s="169"/>
      <c r="H236" s="169"/>
      <c r="I236" s="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row>
    <row r="237" spans="5:42" x14ac:dyDescent="0.2">
      <c r="E237" s="169"/>
      <c r="F237" s="169"/>
      <c r="G237" s="169"/>
      <c r="H237" s="169"/>
      <c r="I237" s="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row>
    <row r="238" spans="5:42" x14ac:dyDescent="0.2">
      <c r="E238" s="169"/>
      <c r="F238" s="169"/>
      <c r="G238" s="169"/>
      <c r="H238" s="169"/>
      <c r="I238" s="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row>
    <row r="239" spans="5:42" x14ac:dyDescent="0.2">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row>
    <row r="240" spans="5:42" x14ac:dyDescent="0.2">
      <c r="E240" s="169"/>
      <c r="F240" s="169"/>
      <c r="G240" s="169"/>
      <c r="H240" s="169"/>
      <c r="I240" s="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row>
    <row r="241" spans="5:42" x14ac:dyDescent="0.2">
      <c r="E241" s="169"/>
      <c r="F241" s="169"/>
      <c r="G241" s="169"/>
      <c r="H241" s="169"/>
      <c r="I241" s="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row>
    <row r="242" spans="5:42" x14ac:dyDescent="0.2">
      <c r="E242" s="169"/>
      <c r="F242" s="169"/>
      <c r="G242" s="169"/>
      <c r="H242" s="169"/>
      <c r="I242" s="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row>
    <row r="243" spans="5:42" x14ac:dyDescent="0.2">
      <c r="E243" s="169"/>
      <c r="F243" s="169"/>
      <c r="G243" s="169"/>
      <c r="H243" s="169"/>
      <c r="I243" s="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row>
    <row r="244" spans="5:42" x14ac:dyDescent="0.2">
      <c r="E244" s="169"/>
      <c r="F244" s="169"/>
      <c r="G244" s="169"/>
      <c r="H244" s="169"/>
      <c r="I244" s="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row>
    <row r="245" spans="5:42" x14ac:dyDescent="0.2">
      <c r="E245" s="169"/>
      <c r="F245" s="169"/>
      <c r="G245" s="169"/>
      <c r="H245" s="169"/>
      <c r="I245" s="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row>
    <row r="246" spans="5:42" x14ac:dyDescent="0.2">
      <c r="E246" s="169"/>
      <c r="F246" s="169"/>
      <c r="G246" s="169"/>
      <c r="H246" s="169"/>
      <c r="I246" s="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row>
    <row r="247" spans="5:42" x14ac:dyDescent="0.2">
      <c r="E247" s="169"/>
      <c r="F247" s="169"/>
      <c r="G247" s="169"/>
      <c r="H247" s="169"/>
      <c r="I247" s="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row>
    <row r="248" spans="5:42" x14ac:dyDescent="0.2">
      <c r="E248" s="169"/>
      <c r="F248" s="169"/>
      <c r="G248" s="169"/>
      <c r="H248" s="169"/>
      <c r="I248" s="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row>
    <row r="249" spans="5:42" x14ac:dyDescent="0.2">
      <c r="E249" s="169"/>
      <c r="F249" s="169"/>
      <c r="G249" s="169"/>
      <c r="H249" s="169"/>
      <c r="I249" s="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row>
    <row r="250" spans="5:42" x14ac:dyDescent="0.2">
      <c r="E250" s="169"/>
      <c r="F250" s="169"/>
      <c r="G250" s="169"/>
      <c r="H250" s="169"/>
      <c r="I250" s="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row>
    <row r="251" spans="5:42" x14ac:dyDescent="0.2">
      <c r="E251" s="169"/>
      <c r="F251" s="169"/>
      <c r="G251" s="169"/>
      <c r="H251" s="169"/>
      <c r="I251" s="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row>
    <row r="252" spans="5:42" x14ac:dyDescent="0.2">
      <c r="E252" s="169"/>
      <c r="F252" s="169"/>
      <c r="G252" s="169"/>
      <c r="H252" s="169"/>
      <c r="I252" s="16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row>
    <row r="253" spans="5:42" x14ac:dyDescent="0.2">
      <c r="E253" s="169"/>
      <c r="F253" s="169"/>
      <c r="G253" s="169"/>
      <c r="H253" s="169"/>
      <c r="I253" s="169"/>
      <c r="J253" s="169"/>
      <c r="K253" s="169"/>
      <c r="L253" s="169"/>
      <c r="M253" s="169"/>
      <c r="N253" s="169"/>
      <c r="O253" s="169"/>
      <c r="P253" s="169"/>
      <c r="Q253" s="169"/>
      <c r="R253" s="169"/>
      <c r="S253" s="169"/>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row>
    <row r="254" spans="5:42" x14ac:dyDescent="0.2">
      <c r="E254" s="169"/>
      <c r="F254" s="169"/>
      <c r="G254" s="169"/>
      <c r="H254" s="169"/>
      <c r="I254" s="169"/>
      <c r="J254" s="169"/>
      <c r="K254" s="169"/>
      <c r="L254" s="169"/>
      <c r="M254" s="169"/>
      <c r="N254" s="169"/>
      <c r="O254" s="169"/>
      <c r="P254" s="169"/>
      <c r="Q254" s="169"/>
      <c r="R254" s="169"/>
      <c r="S254" s="169"/>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row>
    <row r="255" spans="5:42" x14ac:dyDescent="0.2">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row>
    <row r="256" spans="5:42" x14ac:dyDescent="0.2">
      <c r="E256" s="169"/>
      <c r="F256" s="169"/>
      <c r="G256" s="169"/>
      <c r="H256" s="169"/>
      <c r="I256" s="169"/>
      <c r="J256" s="169"/>
      <c r="K256" s="169"/>
      <c r="L256" s="169"/>
      <c r="M256" s="169"/>
      <c r="N256" s="169"/>
      <c r="O256" s="169"/>
      <c r="P256" s="169"/>
      <c r="Q256" s="169"/>
      <c r="R256" s="169"/>
      <c r="S256" s="169"/>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row>
    <row r="257" spans="5:42" x14ac:dyDescent="0.2">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row>
    <row r="258" spans="5:42" x14ac:dyDescent="0.2">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c r="AA258" s="169"/>
      <c r="AB258" s="169"/>
      <c r="AC258" s="169"/>
      <c r="AD258" s="169"/>
      <c r="AE258" s="169"/>
      <c r="AF258" s="169"/>
      <c r="AG258" s="169"/>
      <c r="AH258" s="169"/>
      <c r="AI258" s="169"/>
      <c r="AJ258" s="169"/>
      <c r="AK258" s="169"/>
      <c r="AL258" s="169"/>
      <c r="AM258" s="169"/>
      <c r="AN258" s="169"/>
      <c r="AO258" s="169"/>
      <c r="AP258" s="169"/>
    </row>
    <row r="259" spans="5:42" x14ac:dyDescent="0.2">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c r="AA259" s="169"/>
      <c r="AB259" s="169"/>
      <c r="AC259" s="169"/>
      <c r="AD259" s="169"/>
      <c r="AE259" s="169"/>
      <c r="AF259" s="169"/>
      <c r="AG259" s="169"/>
      <c r="AH259" s="169"/>
      <c r="AI259" s="169"/>
      <c r="AJ259" s="169"/>
      <c r="AK259" s="169"/>
      <c r="AL259" s="169"/>
      <c r="AM259" s="169"/>
      <c r="AN259" s="169"/>
      <c r="AO259" s="169"/>
      <c r="AP259" s="169"/>
    </row>
    <row r="260" spans="5:42" x14ac:dyDescent="0.2">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c r="AA260" s="169"/>
      <c r="AB260" s="169"/>
      <c r="AC260" s="169"/>
      <c r="AD260" s="169"/>
      <c r="AE260" s="169"/>
      <c r="AF260" s="169"/>
      <c r="AG260" s="169"/>
      <c r="AH260" s="169"/>
      <c r="AI260" s="169"/>
      <c r="AJ260" s="169"/>
      <c r="AK260" s="169"/>
      <c r="AL260" s="169"/>
      <c r="AM260" s="169"/>
      <c r="AN260" s="169"/>
      <c r="AO260" s="169"/>
      <c r="AP260" s="169"/>
    </row>
    <row r="261" spans="5:42" x14ac:dyDescent="0.2">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c r="AA261" s="169"/>
      <c r="AB261" s="169"/>
      <c r="AC261" s="169"/>
      <c r="AD261" s="169"/>
      <c r="AE261" s="169"/>
      <c r="AF261" s="169"/>
      <c r="AG261" s="169"/>
      <c r="AH261" s="169"/>
      <c r="AI261" s="169"/>
      <c r="AJ261" s="169"/>
      <c r="AK261" s="169"/>
      <c r="AL261" s="169"/>
      <c r="AM261" s="169"/>
      <c r="AN261" s="169"/>
      <c r="AO261" s="169"/>
      <c r="AP261" s="169"/>
    </row>
    <row r="262" spans="5:42" x14ac:dyDescent="0.2">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row>
    <row r="263" spans="5:42" x14ac:dyDescent="0.2">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c r="AA263" s="169"/>
      <c r="AB263" s="169"/>
      <c r="AC263" s="169"/>
      <c r="AD263" s="169"/>
      <c r="AE263" s="169"/>
      <c r="AF263" s="169"/>
      <c r="AG263" s="169"/>
      <c r="AH263" s="169"/>
      <c r="AI263" s="169"/>
      <c r="AJ263" s="169"/>
      <c r="AK263" s="169"/>
      <c r="AL263" s="169"/>
      <c r="AM263" s="169"/>
      <c r="AN263" s="169"/>
      <c r="AO263" s="169"/>
      <c r="AP263" s="169"/>
    </row>
    <row r="264" spans="5:42" x14ac:dyDescent="0.2">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c r="AA264" s="169"/>
      <c r="AB264" s="169"/>
      <c r="AC264" s="169"/>
      <c r="AD264" s="169"/>
      <c r="AE264" s="169"/>
      <c r="AF264" s="169"/>
      <c r="AG264" s="169"/>
      <c r="AH264" s="169"/>
      <c r="AI264" s="169"/>
      <c r="AJ264" s="169"/>
      <c r="AK264" s="169"/>
      <c r="AL264" s="169"/>
      <c r="AM264" s="169"/>
      <c r="AN264" s="169"/>
      <c r="AO264" s="169"/>
      <c r="AP264" s="169"/>
    </row>
    <row r="265" spans="5:42" x14ac:dyDescent="0.2">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c r="AA265" s="169"/>
      <c r="AB265" s="169"/>
      <c r="AC265" s="169"/>
      <c r="AD265" s="169"/>
      <c r="AE265" s="169"/>
      <c r="AF265" s="169"/>
      <c r="AG265" s="169"/>
      <c r="AH265" s="169"/>
      <c r="AI265" s="169"/>
      <c r="AJ265" s="169"/>
      <c r="AK265" s="169"/>
      <c r="AL265" s="169"/>
      <c r="AM265" s="169"/>
      <c r="AN265" s="169"/>
      <c r="AO265" s="169"/>
      <c r="AP265" s="169"/>
    </row>
    <row r="266" spans="5:42" x14ac:dyDescent="0.2">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row>
    <row r="267" spans="5:42" x14ac:dyDescent="0.2">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c r="AA267" s="169"/>
      <c r="AB267" s="169"/>
      <c r="AC267" s="169"/>
      <c r="AD267" s="169"/>
      <c r="AE267" s="169"/>
      <c r="AF267" s="169"/>
      <c r="AG267" s="169"/>
      <c r="AH267" s="169"/>
      <c r="AI267" s="169"/>
      <c r="AJ267" s="169"/>
      <c r="AK267" s="169"/>
      <c r="AL267" s="169"/>
      <c r="AM267" s="169"/>
      <c r="AN267" s="169"/>
      <c r="AO267" s="169"/>
      <c r="AP267" s="169"/>
    </row>
    <row r="268" spans="5:42" x14ac:dyDescent="0.2">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c r="AC268" s="169"/>
      <c r="AD268" s="169"/>
      <c r="AE268" s="169"/>
      <c r="AF268" s="169"/>
      <c r="AG268" s="169"/>
      <c r="AH268" s="169"/>
      <c r="AI268" s="169"/>
      <c r="AJ268" s="169"/>
      <c r="AK268" s="169"/>
      <c r="AL268" s="169"/>
      <c r="AM268" s="169"/>
      <c r="AN268" s="169"/>
      <c r="AO268" s="169"/>
      <c r="AP268" s="169"/>
    </row>
    <row r="269" spans="5:42" x14ac:dyDescent="0.2">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row>
    <row r="270" spans="5:42" x14ac:dyDescent="0.2">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c r="AA270" s="169"/>
      <c r="AB270" s="169"/>
      <c r="AC270" s="169"/>
      <c r="AD270" s="169"/>
      <c r="AE270" s="169"/>
      <c r="AF270" s="169"/>
      <c r="AG270" s="169"/>
      <c r="AH270" s="169"/>
      <c r="AI270" s="169"/>
      <c r="AJ270" s="169"/>
      <c r="AK270" s="169"/>
      <c r="AL270" s="169"/>
      <c r="AM270" s="169"/>
      <c r="AN270" s="169"/>
      <c r="AO270" s="169"/>
      <c r="AP270" s="169"/>
    </row>
    <row r="271" spans="5:42" x14ac:dyDescent="0.2">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c r="AA271" s="169"/>
      <c r="AB271" s="169"/>
      <c r="AC271" s="169"/>
      <c r="AD271" s="169"/>
      <c r="AE271" s="169"/>
      <c r="AF271" s="169"/>
      <c r="AG271" s="169"/>
      <c r="AH271" s="169"/>
      <c r="AI271" s="169"/>
      <c r="AJ271" s="169"/>
      <c r="AK271" s="169"/>
      <c r="AL271" s="169"/>
      <c r="AM271" s="169"/>
      <c r="AN271" s="169"/>
      <c r="AO271" s="169"/>
      <c r="AP271" s="169"/>
    </row>
    <row r="272" spans="5:42" x14ac:dyDescent="0.2">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row>
    <row r="273" spans="5:42" x14ac:dyDescent="0.2">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c r="AA273" s="169"/>
      <c r="AB273" s="169"/>
      <c r="AC273" s="169"/>
      <c r="AD273" s="169"/>
      <c r="AE273" s="169"/>
      <c r="AF273" s="169"/>
      <c r="AG273" s="169"/>
      <c r="AH273" s="169"/>
      <c r="AI273" s="169"/>
      <c r="AJ273" s="169"/>
      <c r="AK273" s="169"/>
      <c r="AL273" s="169"/>
      <c r="AM273" s="169"/>
      <c r="AN273" s="169"/>
      <c r="AO273" s="169"/>
      <c r="AP273" s="169"/>
    </row>
    <row r="274" spans="5:42" x14ac:dyDescent="0.2">
      <c r="E274" s="169"/>
      <c r="F274" s="169"/>
      <c r="G274" s="169"/>
      <c r="H274" s="169"/>
      <c r="I274" s="169"/>
      <c r="J274" s="169"/>
      <c r="K274" s="169"/>
      <c r="L274" s="169"/>
      <c r="M274" s="169"/>
      <c r="N274" s="169"/>
      <c r="O274" s="169"/>
      <c r="P274" s="169"/>
      <c r="Q274" s="169"/>
      <c r="R274" s="169"/>
      <c r="S274" s="169"/>
      <c r="T274" s="169"/>
      <c r="U274" s="169"/>
      <c r="V274" s="169"/>
      <c r="W274" s="169"/>
      <c r="X274" s="169"/>
      <c r="Y274" s="169"/>
      <c r="Z274" s="169"/>
      <c r="AA274" s="169"/>
      <c r="AB274" s="169"/>
      <c r="AC274" s="169"/>
      <c r="AD274" s="169"/>
      <c r="AE274" s="169"/>
      <c r="AF274" s="169"/>
      <c r="AG274" s="169"/>
      <c r="AH274" s="169"/>
      <c r="AI274" s="169"/>
      <c r="AJ274" s="169"/>
      <c r="AK274" s="169"/>
      <c r="AL274" s="169"/>
      <c r="AM274" s="169"/>
      <c r="AN274" s="169"/>
      <c r="AO274" s="169"/>
      <c r="AP274" s="169"/>
    </row>
    <row r="275" spans="5:42" x14ac:dyDescent="0.2">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row>
    <row r="276" spans="5:42" x14ac:dyDescent="0.2">
      <c r="E276" s="169"/>
      <c r="F276" s="169"/>
      <c r="G276" s="169"/>
      <c r="H276" s="169"/>
      <c r="I276" s="169"/>
      <c r="J276" s="169"/>
      <c r="K276" s="169"/>
      <c r="L276" s="169"/>
      <c r="M276" s="169"/>
      <c r="N276" s="169"/>
      <c r="O276" s="169"/>
      <c r="P276" s="169"/>
      <c r="Q276" s="169"/>
      <c r="R276" s="169"/>
      <c r="S276" s="169"/>
      <c r="T276" s="169"/>
      <c r="U276" s="169"/>
      <c r="V276" s="169"/>
      <c r="W276" s="169"/>
      <c r="X276" s="169"/>
      <c r="Y276" s="169"/>
      <c r="Z276" s="169"/>
      <c r="AA276" s="169"/>
      <c r="AB276" s="169"/>
      <c r="AC276" s="169"/>
      <c r="AD276" s="169"/>
      <c r="AE276" s="169"/>
      <c r="AF276" s="169"/>
      <c r="AG276" s="169"/>
      <c r="AH276" s="169"/>
      <c r="AI276" s="169"/>
      <c r="AJ276" s="169"/>
      <c r="AK276" s="169"/>
      <c r="AL276" s="169"/>
      <c r="AM276" s="169"/>
      <c r="AN276" s="169"/>
      <c r="AO276" s="169"/>
      <c r="AP276" s="169"/>
    </row>
    <row r="277" spans="5:42" x14ac:dyDescent="0.2">
      <c r="E277" s="169"/>
      <c r="F277" s="169"/>
      <c r="G277" s="169"/>
      <c r="H277" s="169"/>
      <c r="I277" s="169"/>
      <c r="J277" s="169"/>
      <c r="K277" s="169"/>
      <c r="L277" s="169"/>
      <c r="M277" s="169"/>
      <c r="N277" s="169"/>
      <c r="O277" s="169"/>
      <c r="P277" s="169"/>
      <c r="Q277" s="169"/>
      <c r="R277" s="169"/>
      <c r="S277" s="169"/>
      <c r="T277" s="169"/>
      <c r="U277" s="169"/>
      <c r="V277" s="169"/>
      <c r="W277" s="169"/>
      <c r="X277" s="169"/>
      <c r="Y277" s="169"/>
      <c r="Z277" s="169"/>
      <c r="AA277" s="169"/>
      <c r="AB277" s="169"/>
      <c r="AC277" s="169"/>
      <c r="AD277" s="169"/>
      <c r="AE277" s="169"/>
      <c r="AF277" s="169"/>
      <c r="AG277" s="169"/>
      <c r="AH277" s="169"/>
      <c r="AI277" s="169"/>
      <c r="AJ277" s="169"/>
      <c r="AK277" s="169"/>
      <c r="AL277" s="169"/>
      <c r="AM277" s="169"/>
      <c r="AN277" s="169"/>
      <c r="AO277" s="169"/>
      <c r="AP277" s="169"/>
    </row>
    <row r="278" spans="5:42" x14ac:dyDescent="0.2">
      <c r="E278" s="169"/>
      <c r="F278" s="169"/>
      <c r="G278" s="169"/>
      <c r="H278" s="169"/>
      <c r="I278" s="169"/>
      <c r="J278" s="169"/>
      <c r="K278" s="169"/>
      <c r="L278" s="169"/>
      <c r="M278" s="169"/>
      <c r="N278" s="169"/>
      <c r="O278" s="169"/>
      <c r="P278" s="169"/>
      <c r="Q278" s="169"/>
      <c r="R278" s="169"/>
      <c r="S278" s="169"/>
      <c r="T278" s="169"/>
      <c r="U278" s="169"/>
      <c r="V278" s="169"/>
      <c r="W278" s="169"/>
      <c r="X278" s="169"/>
      <c r="Y278" s="169"/>
      <c r="Z278" s="169"/>
      <c r="AA278" s="169"/>
      <c r="AB278" s="169"/>
      <c r="AC278" s="169"/>
      <c r="AD278" s="169"/>
      <c r="AE278" s="169"/>
      <c r="AF278" s="169"/>
      <c r="AG278" s="169"/>
      <c r="AH278" s="169"/>
      <c r="AI278" s="169"/>
      <c r="AJ278" s="169"/>
      <c r="AK278" s="169"/>
      <c r="AL278" s="169"/>
      <c r="AM278" s="169"/>
      <c r="AN278" s="169"/>
      <c r="AO278" s="169"/>
      <c r="AP278" s="169"/>
    </row>
    <row r="279" spans="5:42" x14ac:dyDescent="0.2">
      <c r="E279" s="169"/>
      <c r="F279" s="169"/>
      <c r="G279" s="169"/>
      <c r="H279" s="169"/>
      <c r="I279" s="169"/>
      <c r="J279" s="169"/>
      <c r="K279" s="169"/>
      <c r="L279" s="169"/>
      <c r="M279" s="169"/>
      <c r="N279" s="169"/>
      <c r="O279" s="169"/>
      <c r="P279" s="169"/>
      <c r="Q279" s="169"/>
      <c r="R279" s="169"/>
      <c r="S279" s="169"/>
      <c r="T279" s="169"/>
      <c r="U279" s="169"/>
      <c r="V279" s="169"/>
      <c r="W279" s="169"/>
      <c r="X279" s="169"/>
      <c r="Y279" s="169"/>
      <c r="Z279" s="169"/>
      <c r="AA279" s="169"/>
      <c r="AB279" s="169"/>
      <c r="AC279" s="169"/>
      <c r="AD279" s="169"/>
      <c r="AE279" s="169"/>
      <c r="AF279" s="169"/>
      <c r="AG279" s="169"/>
      <c r="AH279" s="169"/>
      <c r="AI279" s="169"/>
      <c r="AJ279" s="169"/>
      <c r="AK279" s="169"/>
      <c r="AL279" s="169"/>
      <c r="AM279" s="169"/>
      <c r="AN279" s="169"/>
      <c r="AO279" s="169"/>
      <c r="AP279" s="169"/>
    </row>
    <row r="280" spans="5:42" x14ac:dyDescent="0.2">
      <c r="E280" s="169"/>
      <c r="F280" s="169"/>
      <c r="G280" s="169"/>
      <c r="H280" s="169"/>
      <c r="I280" s="169"/>
      <c r="J280" s="169"/>
      <c r="K280" s="169"/>
      <c r="L280" s="169"/>
      <c r="M280" s="169"/>
      <c r="N280" s="169"/>
      <c r="O280" s="169"/>
      <c r="P280" s="169"/>
      <c r="Q280" s="169"/>
      <c r="R280" s="169"/>
      <c r="S280" s="169"/>
      <c r="T280" s="169"/>
      <c r="U280" s="169"/>
      <c r="V280" s="169"/>
      <c r="W280" s="169"/>
      <c r="X280" s="169"/>
      <c r="Y280" s="169"/>
      <c r="Z280" s="169"/>
      <c r="AA280" s="169"/>
      <c r="AB280" s="169"/>
      <c r="AC280" s="169"/>
      <c r="AD280" s="169"/>
      <c r="AE280" s="169"/>
      <c r="AF280" s="169"/>
      <c r="AG280" s="169"/>
      <c r="AH280" s="169"/>
      <c r="AI280" s="169"/>
      <c r="AJ280" s="169"/>
      <c r="AK280" s="169"/>
      <c r="AL280" s="169"/>
      <c r="AM280" s="169"/>
      <c r="AN280" s="169"/>
      <c r="AO280" s="169"/>
      <c r="AP280" s="169"/>
    </row>
    <row r="281" spans="5:42" x14ac:dyDescent="0.2">
      <c r="E281" s="169"/>
      <c r="F281" s="169"/>
      <c r="G281" s="169"/>
      <c r="H281" s="169"/>
      <c r="I281" s="169"/>
      <c r="J281" s="169"/>
      <c r="K281" s="169"/>
      <c r="L281" s="169"/>
      <c r="M281" s="169"/>
      <c r="N281" s="169"/>
      <c r="O281" s="169"/>
      <c r="P281" s="169"/>
      <c r="Q281" s="169"/>
      <c r="R281" s="169"/>
      <c r="S281" s="169"/>
      <c r="T281" s="169"/>
      <c r="U281" s="169"/>
      <c r="V281" s="169"/>
      <c r="W281" s="169"/>
      <c r="X281" s="169"/>
      <c r="Y281" s="169"/>
      <c r="Z281" s="169"/>
      <c r="AA281" s="169"/>
      <c r="AB281" s="169"/>
      <c r="AC281" s="169"/>
      <c r="AD281" s="169"/>
      <c r="AE281" s="169"/>
      <c r="AF281" s="169"/>
      <c r="AG281" s="169"/>
      <c r="AH281" s="169"/>
      <c r="AI281" s="169"/>
      <c r="AJ281" s="169"/>
      <c r="AK281" s="169"/>
      <c r="AL281" s="169"/>
      <c r="AM281" s="169"/>
      <c r="AN281" s="169"/>
      <c r="AO281" s="169"/>
      <c r="AP281" s="169"/>
    </row>
    <row r="282" spans="5:42" x14ac:dyDescent="0.2">
      <c r="E282" s="169"/>
      <c r="F282" s="169"/>
      <c r="G282" s="169"/>
      <c r="H282" s="169"/>
      <c r="I282" s="169"/>
      <c r="J282" s="169"/>
      <c r="K282" s="169"/>
      <c r="L282" s="169"/>
      <c r="M282" s="169"/>
      <c r="N282" s="169"/>
      <c r="O282" s="169"/>
      <c r="P282" s="169"/>
      <c r="Q282" s="169"/>
      <c r="R282" s="169"/>
      <c r="S282" s="169"/>
      <c r="T282" s="169"/>
      <c r="U282" s="169"/>
      <c r="V282" s="169"/>
      <c r="W282" s="169"/>
      <c r="X282" s="169"/>
      <c r="Y282" s="169"/>
      <c r="Z282" s="169"/>
      <c r="AA282" s="169"/>
      <c r="AB282" s="169"/>
      <c r="AC282" s="169"/>
      <c r="AD282" s="169"/>
      <c r="AE282" s="169"/>
      <c r="AF282" s="169"/>
      <c r="AG282" s="169"/>
      <c r="AH282" s="169"/>
      <c r="AI282" s="169"/>
      <c r="AJ282" s="169"/>
      <c r="AK282" s="169"/>
      <c r="AL282" s="169"/>
      <c r="AM282" s="169"/>
      <c r="AN282" s="169"/>
      <c r="AO282" s="169"/>
      <c r="AP282" s="169"/>
    </row>
    <row r="283" spans="5:42" x14ac:dyDescent="0.2">
      <c r="E283" s="169"/>
      <c r="F283" s="169"/>
      <c r="G283" s="169"/>
      <c r="H283" s="169"/>
      <c r="I283" s="169"/>
      <c r="J283" s="169"/>
      <c r="K283" s="169"/>
      <c r="L283" s="169"/>
      <c r="M283" s="169"/>
      <c r="N283" s="169"/>
      <c r="O283" s="169"/>
      <c r="P283" s="169"/>
      <c r="Q283" s="169"/>
      <c r="R283" s="169"/>
      <c r="S283" s="169"/>
      <c r="T283" s="169"/>
      <c r="U283" s="169"/>
      <c r="V283" s="169"/>
      <c r="W283" s="169"/>
      <c r="X283" s="169"/>
      <c r="Y283" s="169"/>
      <c r="Z283" s="169"/>
      <c r="AA283" s="169"/>
      <c r="AB283" s="169"/>
      <c r="AC283" s="169"/>
      <c r="AD283" s="169"/>
      <c r="AE283" s="169"/>
      <c r="AF283" s="169"/>
      <c r="AG283" s="169"/>
      <c r="AH283" s="169"/>
      <c r="AI283" s="169"/>
      <c r="AJ283" s="169"/>
      <c r="AK283" s="169"/>
      <c r="AL283" s="169"/>
      <c r="AM283" s="169"/>
      <c r="AN283" s="169"/>
      <c r="AO283" s="169"/>
      <c r="AP283" s="169"/>
    </row>
    <row r="284" spans="5:42" x14ac:dyDescent="0.2">
      <c r="E284" s="169"/>
      <c r="F284" s="169"/>
      <c r="G284" s="169"/>
      <c r="H284" s="169"/>
      <c r="I284" s="169"/>
      <c r="J284" s="169"/>
      <c r="K284" s="169"/>
      <c r="L284" s="169"/>
      <c r="M284" s="169"/>
      <c r="N284" s="169"/>
      <c r="O284" s="169"/>
      <c r="P284" s="169"/>
      <c r="Q284" s="169"/>
      <c r="R284" s="169"/>
      <c r="S284" s="169"/>
      <c r="T284" s="169"/>
      <c r="U284" s="169"/>
      <c r="V284" s="169"/>
      <c r="W284" s="169"/>
      <c r="X284" s="169"/>
      <c r="Y284" s="169"/>
      <c r="Z284" s="169"/>
      <c r="AA284" s="169"/>
      <c r="AB284" s="169"/>
      <c r="AC284" s="169"/>
      <c r="AD284" s="169"/>
      <c r="AE284" s="169"/>
      <c r="AF284" s="169"/>
      <c r="AG284" s="169"/>
      <c r="AH284" s="169"/>
      <c r="AI284" s="169"/>
      <c r="AJ284" s="169"/>
      <c r="AK284" s="169"/>
      <c r="AL284" s="169"/>
      <c r="AM284" s="169"/>
      <c r="AN284" s="169"/>
      <c r="AO284" s="169"/>
      <c r="AP284" s="169"/>
    </row>
    <row r="285" spans="5:42" x14ac:dyDescent="0.2">
      <c r="E285" s="169"/>
      <c r="F285" s="169"/>
      <c r="G285" s="169"/>
      <c r="H285" s="169"/>
      <c r="I285" s="169"/>
      <c r="J285" s="169"/>
      <c r="K285" s="169"/>
      <c r="L285" s="169"/>
      <c r="M285" s="169"/>
      <c r="N285" s="169"/>
      <c r="O285" s="169"/>
      <c r="P285" s="169"/>
      <c r="Q285" s="169"/>
      <c r="R285" s="169"/>
      <c r="S285" s="169"/>
      <c r="T285" s="169"/>
      <c r="U285" s="169"/>
      <c r="V285" s="169"/>
      <c r="W285" s="169"/>
      <c r="X285" s="169"/>
      <c r="Y285" s="169"/>
      <c r="Z285" s="169"/>
      <c r="AA285" s="169"/>
      <c r="AB285" s="169"/>
      <c r="AC285" s="169"/>
      <c r="AD285" s="169"/>
      <c r="AE285" s="169"/>
      <c r="AF285" s="169"/>
      <c r="AG285" s="169"/>
      <c r="AH285" s="169"/>
      <c r="AI285" s="169"/>
      <c r="AJ285" s="169"/>
      <c r="AK285" s="169"/>
      <c r="AL285" s="169"/>
      <c r="AM285" s="169"/>
      <c r="AN285" s="169"/>
      <c r="AO285" s="169"/>
      <c r="AP285" s="169"/>
    </row>
    <row r="286" spans="5:42" x14ac:dyDescent="0.2">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c r="AA286" s="169"/>
      <c r="AB286" s="169"/>
      <c r="AC286" s="169"/>
      <c r="AD286" s="169"/>
      <c r="AE286" s="169"/>
      <c r="AF286" s="169"/>
      <c r="AG286" s="169"/>
      <c r="AH286" s="169"/>
      <c r="AI286" s="169"/>
      <c r="AJ286" s="169"/>
      <c r="AK286" s="169"/>
      <c r="AL286" s="169"/>
      <c r="AM286" s="169"/>
      <c r="AN286" s="169"/>
      <c r="AO286" s="169"/>
      <c r="AP286" s="169"/>
    </row>
    <row r="287" spans="5:42" x14ac:dyDescent="0.2">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c r="AA287" s="169"/>
      <c r="AB287" s="169"/>
      <c r="AC287" s="169"/>
      <c r="AD287" s="169"/>
      <c r="AE287" s="169"/>
      <c r="AF287" s="169"/>
      <c r="AG287" s="169"/>
      <c r="AH287" s="169"/>
      <c r="AI287" s="169"/>
      <c r="AJ287" s="169"/>
      <c r="AK287" s="169"/>
      <c r="AL287" s="169"/>
      <c r="AM287" s="169"/>
      <c r="AN287" s="169"/>
      <c r="AO287" s="169"/>
      <c r="AP287" s="169"/>
    </row>
    <row r="288" spans="5:42" x14ac:dyDescent="0.2">
      <c r="E288" s="169"/>
      <c r="F288" s="169"/>
      <c r="G288" s="169"/>
      <c r="H288" s="169"/>
      <c r="I288" s="169"/>
      <c r="J288" s="169"/>
      <c r="K288" s="169"/>
      <c r="L288" s="169"/>
      <c r="M288" s="169"/>
      <c r="N288" s="169"/>
      <c r="O288" s="169"/>
      <c r="P288" s="169"/>
      <c r="Q288" s="169"/>
      <c r="R288" s="169"/>
      <c r="S288" s="169"/>
      <c r="T288" s="169"/>
      <c r="U288" s="169"/>
      <c r="V288" s="169"/>
      <c r="W288" s="169"/>
      <c r="X288" s="169"/>
      <c r="Y288" s="169"/>
      <c r="Z288" s="169"/>
      <c r="AA288" s="169"/>
      <c r="AB288" s="169"/>
      <c r="AC288" s="169"/>
      <c r="AD288" s="169"/>
      <c r="AE288" s="169"/>
      <c r="AF288" s="169"/>
      <c r="AG288" s="169"/>
      <c r="AH288" s="169"/>
      <c r="AI288" s="169"/>
      <c r="AJ288" s="169"/>
      <c r="AK288" s="169"/>
      <c r="AL288" s="169"/>
      <c r="AM288" s="169"/>
      <c r="AN288" s="169"/>
      <c r="AO288" s="169"/>
      <c r="AP288" s="169"/>
    </row>
    <row r="289" spans="5:42" x14ac:dyDescent="0.2">
      <c r="E289" s="169"/>
      <c r="F289" s="169"/>
      <c r="G289" s="169"/>
      <c r="H289" s="169"/>
      <c r="I289" s="169"/>
      <c r="J289" s="169"/>
      <c r="K289" s="169"/>
      <c r="L289" s="169"/>
      <c r="M289" s="169"/>
      <c r="N289" s="169"/>
      <c r="O289" s="169"/>
      <c r="P289" s="169"/>
      <c r="Q289" s="169"/>
      <c r="R289" s="169"/>
      <c r="S289" s="169"/>
      <c r="T289" s="169"/>
      <c r="U289" s="169"/>
      <c r="V289" s="169"/>
      <c r="W289" s="169"/>
      <c r="X289" s="169"/>
      <c r="Y289" s="169"/>
      <c r="Z289" s="169"/>
      <c r="AA289" s="169"/>
      <c r="AB289" s="169"/>
      <c r="AC289" s="169"/>
      <c r="AD289" s="169"/>
      <c r="AE289" s="169"/>
      <c r="AF289" s="169"/>
      <c r="AG289" s="169"/>
      <c r="AH289" s="169"/>
      <c r="AI289" s="169"/>
      <c r="AJ289" s="169"/>
      <c r="AK289" s="169"/>
      <c r="AL289" s="169"/>
      <c r="AM289" s="169"/>
      <c r="AN289" s="169"/>
      <c r="AO289" s="169"/>
      <c r="AP289" s="169"/>
    </row>
    <row r="290" spans="5:42" x14ac:dyDescent="0.2">
      <c r="E290" s="169"/>
      <c r="F290" s="169"/>
      <c r="G290" s="169"/>
      <c r="H290" s="169"/>
      <c r="I290" s="169"/>
      <c r="J290" s="169"/>
      <c r="K290" s="169"/>
      <c r="L290" s="169"/>
      <c r="M290" s="169"/>
      <c r="N290" s="169"/>
      <c r="O290" s="169"/>
      <c r="P290" s="169"/>
      <c r="Q290" s="169"/>
      <c r="R290" s="169"/>
      <c r="S290" s="169"/>
      <c r="T290" s="169"/>
      <c r="U290" s="169"/>
      <c r="V290" s="169"/>
      <c r="W290" s="169"/>
      <c r="X290" s="169"/>
      <c r="Y290" s="169"/>
      <c r="Z290" s="169"/>
      <c r="AA290" s="169"/>
      <c r="AB290" s="169"/>
      <c r="AC290" s="169"/>
      <c r="AD290" s="169"/>
      <c r="AE290" s="169"/>
      <c r="AF290" s="169"/>
      <c r="AG290" s="169"/>
      <c r="AH290" s="169"/>
      <c r="AI290" s="169"/>
      <c r="AJ290" s="169"/>
      <c r="AK290" s="169"/>
      <c r="AL290" s="169"/>
      <c r="AM290" s="169"/>
      <c r="AN290" s="169"/>
      <c r="AO290" s="169"/>
      <c r="AP290" s="169"/>
    </row>
    <row r="291" spans="5:42" x14ac:dyDescent="0.2">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169"/>
      <c r="AC291" s="169"/>
      <c r="AD291" s="169"/>
      <c r="AE291" s="169"/>
      <c r="AF291" s="169"/>
      <c r="AG291" s="169"/>
      <c r="AH291" s="169"/>
      <c r="AI291" s="169"/>
      <c r="AJ291" s="169"/>
      <c r="AK291" s="169"/>
      <c r="AL291" s="169"/>
      <c r="AM291" s="169"/>
      <c r="AN291" s="169"/>
      <c r="AO291" s="169"/>
      <c r="AP291" s="169"/>
    </row>
    <row r="292" spans="5:42" x14ac:dyDescent="0.2">
      <c r="E292" s="169"/>
      <c r="F292" s="169"/>
      <c r="G292" s="169"/>
      <c r="H292" s="169"/>
      <c r="I292" s="169"/>
      <c r="J292" s="169"/>
      <c r="K292" s="169"/>
      <c r="L292" s="169"/>
      <c r="M292" s="169"/>
      <c r="N292" s="169"/>
      <c r="O292" s="169"/>
      <c r="P292" s="169"/>
      <c r="Q292" s="169"/>
      <c r="R292" s="169"/>
      <c r="S292" s="169"/>
      <c r="T292" s="169"/>
      <c r="U292" s="169"/>
      <c r="V292" s="169"/>
      <c r="W292" s="169"/>
      <c r="X292" s="169"/>
      <c r="Y292" s="169"/>
      <c r="Z292" s="169"/>
      <c r="AA292" s="169"/>
      <c r="AB292" s="169"/>
      <c r="AC292" s="169"/>
      <c r="AD292" s="169"/>
      <c r="AE292" s="169"/>
      <c r="AF292" s="169"/>
      <c r="AG292" s="169"/>
      <c r="AH292" s="169"/>
      <c r="AI292" s="169"/>
      <c r="AJ292" s="169"/>
      <c r="AK292" s="169"/>
      <c r="AL292" s="169"/>
      <c r="AM292" s="169"/>
      <c r="AN292" s="169"/>
      <c r="AO292" s="169"/>
      <c r="AP292" s="169"/>
    </row>
    <row r="293" spans="5:42" x14ac:dyDescent="0.2">
      <c r="E293" s="169"/>
      <c r="F293" s="169"/>
      <c r="G293" s="169"/>
      <c r="H293" s="169"/>
      <c r="I293" s="169"/>
      <c r="J293" s="169"/>
      <c r="K293" s="169"/>
      <c r="L293" s="169"/>
      <c r="M293" s="169"/>
      <c r="N293" s="169"/>
      <c r="O293" s="169"/>
      <c r="P293" s="169"/>
      <c r="Q293" s="169"/>
      <c r="R293" s="169"/>
      <c r="S293" s="169"/>
      <c r="T293" s="169"/>
      <c r="U293" s="169"/>
      <c r="V293" s="169"/>
      <c r="W293" s="169"/>
      <c r="X293" s="169"/>
      <c r="Y293" s="169"/>
      <c r="Z293" s="169"/>
      <c r="AA293" s="169"/>
      <c r="AB293" s="169"/>
      <c r="AC293" s="169"/>
      <c r="AD293" s="169"/>
      <c r="AE293" s="169"/>
      <c r="AF293" s="169"/>
      <c r="AG293" s="169"/>
      <c r="AH293" s="169"/>
      <c r="AI293" s="169"/>
      <c r="AJ293" s="169"/>
      <c r="AK293" s="169"/>
      <c r="AL293" s="169"/>
      <c r="AM293" s="169"/>
      <c r="AN293" s="169"/>
      <c r="AO293" s="169"/>
      <c r="AP293" s="169"/>
    </row>
    <row r="294" spans="5:42" x14ac:dyDescent="0.2">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169"/>
      <c r="AC294" s="169"/>
      <c r="AD294" s="169"/>
      <c r="AE294" s="169"/>
      <c r="AF294" s="169"/>
      <c r="AG294" s="169"/>
      <c r="AH294" s="169"/>
      <c r="AI294" s="169"/>
      <c r="AJ294" s="169"/>
      <c r="AK294" s="169"/>
      <c r="AL294" s="169"/>
      <c r="AM294" s="169"/>
      <c r="AN294" s="169"/>
      <c r="AO294" s="169"/>
      <c r="AP294" s="169"/>
    </row>
    <row r="295" spans="5:42" x14ac:dyDescent="0.2">
      <c r="E295" s="169"/>
      <c r="F295" s="169"/>
      <c r="G295" s="169"/>
      <c r="H295" s="169"/>
      <c r="I295" s="169"/>
      <c r="J295" s="169"/>
      <c r="K295" s="169"/>
      <c r="L295" s="169"/>
      <c r="M295" s="169"/>
      <c r="N295" s="169"/>
      <c r="O295" s="169"/>
      <c r="P295" s="169"/>
      <c r="Q295" s="169"/>
      <c r="R295" s="169"/>
      <c r="S295" s="169"/>
      <c r="T295" s="169"/>
      <c r="U295" s="169"/>
      <c r="V295" s="169"/>
      <c r="W295" s="169"/>
      <c r="X295" s="169"/>
      <c r="Y295" s="169"/>
      <c r="Z295" s="169"/>
      <c r="AA295" s="169"/>
      <c r="AB295" s="169"/>
      <c r="AC295" s="169"/>
      <c r="AD295" s="169"/>
      <c r="AE295" s="169"/>
      <c r="AF295" s="169"/>
      <c r="AG295" s="169"/>
      <c r="AH295" s="169"/>
      <c r="AI295" s="169"/>
      <c r="AJ295" s="169"/>
      <c r="AK295" s="169"/>
      <c r="AL295" s="169"/>
      <c r="AM295" s="169"/>
      <c r="AN295" s="169"/>
      <c r="AO295" s="169"/>
      <c r="AP295" s="169"/>
    </row>
    <row r="296" spans="5:42" x14ac:dyDescent="0.2">
      <c r="E296" s="169"/>
      <c r="F296" s="169"/>
      <c r="G296" s="169"/>
      <c r="H296" s="169"/>
      <c r="I296" s="169"/>
      <c r="J296" s="169"/>
      <c r="K296" s="169"/>
      <c r="L296" s="169"/>
      <c r="M296" s="169"/>
      <c r="N296" s="169"/>
      <c r="O296" s="169"/>
      <c r="P296" s="169"/>
      <c r="Q296" s="169"/>
      <c r="R296" s="169"/>
      <c r="S296" s="169"/>
      <c r="T296" s="169"/>
      <c r="U296" s="169"/>
      <c r="V296" s="169"/>
      <c r="W296" s="169"/>
      <c r="X296" s="169"/>
      <c r="Y296" s="169"/>
      <c r="Z296" s="169"/>
      <c r="AA296" s="169"/>
      <c r="AB296" s="169"/>
      <c r="AC296" s="169"/>
      <c r="AD296" s="169"/>
      <c r="AE296" s="169"/>
      <c r="AF296" s="169"/>
      <c r="AG296" s="169"/>
      <c r="AH296" s="169"/>
      <c r="AI296" s="169"/>
      <c r="AJ296" s="169"/>
      <c r="AK296" s="169"/>
      <c r="AL296" s="169"/>
      <c r="AM296" s="169"/>
      <c r="AN296" s="169"/>
      <c r="AO296" s="169"/>
      <c r="AP296" s="169"/>
    </row>
    <row r="297" spans="5:42" x14ac:dyDescent="0.2">
      <c r="E297" s="169"/>
      <c r="F297" s="169"/>
      <c r="G297" s="169"/>
      <c r="H297" s="169"/>
      <c r="I297" s="169"/>
      <c r="J297" s="169"/>
      <c r="K297" s="169"/>
      <c r="L297" s="169"/>
      <c r="M297" s="169"/>
      <c r="N297" s="169"/>
      <c r="O297" s="169"/>
      <c r="P297" s="169"/>
      <c r="Q297" s="169"/>
      <c r="R297" s="169"/>
      <c r="S297" s="169"/>
      <c r="T297" s="169"/>
      <c r="U297" s="169"/>
      <c r="V297" s="169"/>
      <c r="W297" s="169"/>
      <c r="X297" s="169"/>
      <c r="Y297" s="169"/>
      <c r="Z297" s="169"/>
      <c r="AA297" s="169"/>
      <c r="AB297" s="169"/>
      <c r="AC297" s="169"/>
      <c r="AD297" s="169"/>
      <c r="AE297" s="169"/>
      <c r="AF297" s="169"/>
      <c r="AG297" s="169"/>
      <c r="AH297" s="169"/>
      <c r="AI297" s="169"/>
      <c r="AJ297" s="169"/>
      <c r="AK297" s="169"/>
      <c r="AL297" s="169"/>
      <c r="AM297" s="169"/>
      <c r="AN297" s="169"/>
      <c r="AO297" s="169"/>
      <c r="AP297" s="169"/>
    </row>
    <row r="298" spans="5:42" x14ac:dyDescent="0.2">
      <c r="E298" s="169"/>
      <c r="F298" s="169"/>
      <c r="G298" s="169"/>
      <c r="H298" s="169"/>
      <c r="I298" s="169"/>
      <c r="J298" s="169"/>
      <c r="K298" s="169"/>
      <c r="L298" s="169"/>
      <c r="M298" s="169"/>
      <c r="N298" s="169"/>
      <c r="O298" s="169"/>
      <c r="P298" s="169"/>
      <c r="Q298" s="169"/>
      <c r="R298" s="169"/>
      <c r="S298" s="169"/>
      <c r="T298" s="169"/>
      <c r="U298" s="169"/>
      <c r="V298" s="169"/>
      <c r="W298" s="169"/>
      <c r="X298" s="169"/>
      <c r="Y298" s="169"/>
      <c r="Z298" s="169"/>
      <c r="AA298" s="169"/>
      <c r="AB298" s="169"/>
      <c r="AC298" s="169"/>
      <c r="AD298" s="169"/>
      <c r="AE298" s="169"/>
      <c r="AF298" s="169"/>
      <c r="AG298" s="169"/>
      <c r="AH298" s="169"/>
      <c r="AI298" s="169"/>
      <c r="AJ298" s="169"/>
      <c r="AK298" s="169"/>
      <c r="AL298" s="169"/>
      <c r="AM298" s="169"/>
      <c r="AN298" s="169"/>
      <c r="AO298" s="169"/>
      <c r="AP298" s="169"/>
    </row>
    <row r="299" spans="5:42" x14ac:dyDescent="0.2">
      <c r="E299" s="169"/>
      <c r="F299" s="169"/>
      <c r="G299" s="169"/>
      <c r="H299" s="169"/>
      <c r="I299" s="169"/>
      <c r="J299" s="169"/>
      <c r="K299" s="169"/>
      <c r="L299" s="169"/>
      <c r="M299" s="169"/>
      <c r="N299" s="169"/>
      <c r="O299" s="169"/>
      <c r="P299" s="169"/>
      <c r="Q299" s="169"/>
      <c r="R299" s="169"/>
      <c r="S299" s="169"/>
      <c r="T299" s="169"/>
      <c r="U299" s="169"/>
      <c r="V299" s="169"/>
      <c r="W299" s="169"/>
      <c r="X299" s="169"/>
      <c r="Y299" s="169"/>
      <c r="Z299" s="169"/>
      <c r="AA299" s="169"/>
      <c r="AB299" s="169"/>
      <c r="AC299" s="169"/>
      <c r="AD299" s="169"/>
      <c r="AE299" s="169"/>
      <c r="AF299" s="169"/>
      <c r="AG299" s="169"/>
      <c r="AH299" s="169"/>
      <c r="AI299" s="169"/>
      <c r="AJ299" s="169"/>
      <c r="AK299" s="169"/>
      <c r="AL299" s="169"/>
      <c r="AM299" s="169"/>
      <c r="AN299" s="169"/>
      <c r="AO299" s="169"/>
      <c r="AP299" s="169"/>
    </row>
    <row r="300" spans="5:42" x14ac:dyDescent="0.2">
      <c r="E300" s="169"/>
      <c r="F300" s="169"/>
      <c r="G300" s="169"/>
      <c r="H300" s="169"/>
      <c r="I300" s="169"/>
      <c r="J300" s="169"/>
      <c r="K300" s="169"/>
      <c r="L300" s="169"/>
      <c r="M300" s="169"/>
      <c r="N300" s="169"/>
      <c r="O300" s="169"/>
      <c r="P300" s="169"/>
      <c r="Q300" s="169"/>
      <c r="R300" s="169"/>
      <c r="S300" s="169"/>
      <c r="T300" s="169"/>
      <c r="U300" s="169"/>
      <c r="V300" s="169"/>
      <c r="W300" s="169"/>
      <c r="X300" s="169"/>
      <c r="Y300" s="169"/>
      <c r="Z300" s="169"/>
      <c r="AA300" s="169"/>
      <c r="AB300" s="169"/>
      <c r="AC300" s="169"/>
      <c r="AD300" s="169"/>
      <c r="AE300" s="169"/>
      <c r="AF300" s="169"/>
      <c r="AG300" s="169"/>
      <c r="AH300" s="169"/>
      <c r="AI300" s="169"/>
      <c r="AJ300" s="169"/>
      <c r="AK300" s="169"/>
      <c r="AL300" s="169"/>
      <c r="AM300" s="169"/>
      <c r="AN300" s="169"/>
      <c r="AO300" s="169"/>
      <c r="AP300" s="169"/>
    </row>
    <row r="301" spans="5:42" x14ac:dyDescent="0.2">
      <c r="E301" s="169"/>
      <c r="F301" s="169"/>
      <c r="G301" s="169"/>
      <c r="H301" s="169"/>
      <c r="I301" s="169"/>
      <c r="J301" s="169"/>
      <c r="K301" s="169"/>
      <c r="L301" s="169"/>
      <c r="M301" s="169"/>
      <c r="N301" s="169"/>
      <c r="O301" s="169"/>
      <c r="P301" s="169"/>
      <c r="Q301" s="169"/>
      <c r="R301" s="169"/>
      <c r="S301" s="169"/>
      <c r="T301" s="169"/>
      <c r="U301" s="169"/>
      <c r="V301" s="169"/>
      <c r="W301" s="169"/>
      <c r="X301" s="169"/>
      <c r="Y301" s="169"/>
      <c r="Z301" s="169"/>
      <c r="AA301" s="169"/>
      <c r="AB301" s="169"/>
      <c r="AC301" s="169"/>
      <c r="AD301" s="169"/>
      <c r="AE301" s="169"/>
      <c r="AF301" s="169"/>
      <c r="AG301" s="169"/>
      <c r="AH301" s="169"/>
      <c r="AI301" s="169"/>
      <c r="AJ301" s="169"/>
      <c r="AK301" s="169"/>
      <c r="AL301" s="169"/>
      <c r="AM301" s="169"/>
      <c r="AN301" s="169"/>
      <c r="AO301" s="169"/>
      <c r="AP301" s="169"/>
    </row>
    <row r="302" spans="5:42" x14ac:dyDescent="0.2">
      <c r="E302" s="169"/>
      <c r="F302" s="169"/>
      <c r="G302" s="169"/>
      <c r="H302" s="169"/>
      <c r="I302" s="169"/>
      <c r="J302" s="169"/>
      <c r="K302" s="169"/>
      <c r="L302" s="169"/>
      <c r="M302" s="169"/>
      <c r="N302" s="169"/>
      <c r="O302" s="169"/>
      <c r="P302" s="169"/>
      <c r="Q302" s="169"/>
      <c r="R302" s="169"/>
      <c r="S302" s="169"/>
      <c r="T302" s="169"/>
      <c r="U302" s="169"/>
      <c r="V302" s="169"/>
      <c r="W302" s="169"/>
      <c r="X302" s="169"/>
      <c r="Y302" s="169"/>
      <c r="Z302" s="169"/>
      <c r="AA302" s="169"/>
      <c r="AB302" s="169"/>
      <c r="AC302" s="169"/>
      <c r="AD302" s="169"/>
      <c r="AE302" s="169"/>
      <c r="AF302" s="169"/>
      <c r="AG302" s="169"/>
      <c r="AH302" s="169"/>
      <c r="AI302" s="169"/>
      <c r="AJ302" s="169"/>
      <c r="AK302" s="169"/>
      <c r="AL302" s="169"/>
      <c r="AM302" s="169"/>
      <c r="AN302" s="169"/>
      <c r="AO302" s="169"/>
      <c r="AP302" s="169"/>
    </row>
    <row r="303" spans="5:42" x14ac:dyDescent="0.2">
      <c r="E303" s="169"/>
      <c r="F303" s="169"/>
      <c r="G303" s="169"/>
      <c r="H303" s="169"/>
      <c r="I303" s="169"/>
      <c r="J303" s="169"/>
      <c r="K303" s="169"/>
      <c r="L303" s="169"/>
      <c r="M303" s="169"/>
      <c r="N303" s="169"/>
      <c r="O303" s="169"/>
      <c r="P303" s="169"/>
      <c r="Q303" s="169"/>
      <c r="R303" s="169"/>
      <c r="S303" s="169"/>
      <c r="T303" s="169"/>
      <c r="U303" s="169"/>
      <c r="V303" s="169"/>
      <c r="W303" s="169"/>
      <c r="X303" s="169"/>
      <c r="Y303" s="169"/>
      <c r="Z303" s="169"/>
      <c r="AA303" s="169"/>
      <c r="AB303" s="169"/>
      <c r="AC303" s="169"/>
      <c r="AD303" s="169"/>
      <c r="AE303" s="169"/>
      <c r="AF303" s="169"/>
      <c r="AG303" s="169"/>
      <c r="AH303" s="169"/>
      <c r="AI303" s="169"/>
      <c r="AJ303" s="169"/>
      <c r="AK303" s="169"/>
      <c r="AL303" s="169"/>
      <c r="AM303" s="169"/>
      <c r="AN303" s="169"/>
      <c r="AO303" s="169"/>
      <c r="AP303" s="169"/>
    </row>
    <row r="304" spans="5:42" x14ac:dyDescent="0.2">
      <c r="E304" s="169"/>
      <c r="F304" s="169"/>
      <c r="G304" s="169"/>
      <c r="H304" s="169"/>
      <c r="I304" s="169"/>
      <c r="J304" s="169"/>
      <c r="K304" s="169"/>
      <c r="L304" s="169"/>
      <c r="M304" s="169"/>
      <c r="N304" s="169"/>
      <c r="O304" s="169"/>
      <c r="P304" s="169"/>
      <c r="Q304" s="169"/>
      <c r="R304" s="169"/>
      <c r="S304" s="169"/>
      <c r="T304" s="169"/>
      <c r="U304" s="169"/>
      <c r="V304" s="169"/>
      <c r="W304" s="169"/>
      <c r="X304" s="169"/>
      <c r="Y304" s="169"/>
      <c r="Z304" s="169"/>
      <c r="AA304" s="169"/>
      <c r="AB304" s="169"/>
      <c r="AC304" s="169"/>
      <c r="AD304" s="169"/>
      <c r="AE304" s="169"/>
      <c r="AF304" s="169"/>
      <c r="AG304" s="169"/>
      <c r="AH304" s="169"/>
      <c r="AI304" s="169"/>
      <c r="AJ304" s="169"/>
      <c r="AK304" s="169"/>
      <c r="AL304" s="169"/>
      <c r="AM304" s="169"/>
      <c r="AN304" s="169"/>
      <c r="AO304" s="169"/>
      <c r="AP304" s="169"/>
    </row>
    <row r="305" spans="5:42" x14ac:dyDescent="0.2">
      <c r="E305" s="169"/>
      <c r="F305" s="169"/>
      <c r="G305" s="169"/>
      <c r="H305" s="169"/>
      <c r="I305" s="169"/>
      <c r="J305" s="169"/>
      <c r="K305" s="169"/>
      <c r="L305" s="169"/>
      <c r="M305" s="169"/>
      <c r="N305" s="169"/>
      <c r="O305" s="169"/>
      <c r="P305" s="169"/>
      <c r="Q305" s="169"/>
      <c r="R305" s="169"/>
      <c r="S305" s="169"/>
      <c r="T305" s="169"/>
      <c r="U305" s="169"/>
      <c r="V305" s="169"/>
      <c r="W305" s="169"/>
      <c r="X305" s="169"/>
      <c r="Y305" s="169"/>
      <c r="Z305" s="169"/>
      <c r="AA305" s="169"/>
      <c r="AB305" s="169"/>
      <c r="AC305" s="169"/>
      <c r="AD305" s="169"/>
      <c r="AE305" s="169"/>
      <c r="AF305" s="169"/>
      <c r="AG305" s="169"/>
      <c r="AH305" s="169"/>
      <c r="AI305" s="169"/>
      <c r="AJ305" s="169"/>
      <c r="AK305" s="169"/>
      <c r="AL305" s="169"/>
      <c r="AM305" s="169"/>
      <c r="AN305" s="169"/>
      <c r="AO305" s="169"/>
      <c r="AP305" s="169"/>
    </row>
    <row r="306" spans="5:42" x14ac:dyDescent="0.2">
      <c r="E306" s="169"/>
      <c r="F306" s="169"/>
      <c r="G306" s="169"/>
      <c r="H306" s="169"/>
      <c r="I306" s="169"/>
      <c r="J306" s="169"/>
      <c r="K306" s="169"/>
      <c r="L306" s="169"/>
      <c r="M306" s="169"/>
      <c r="N306" s="169"/>
      <c r="O306" s="169"/>
      <c r="P306" s="169"/>
      <c r="Q306" s="169"/>
      <c r="R306" s="169"/>
      <c r="S306" s="169"/>
      <c r="T306" s="169"/>
      <c r="U306" s="169"/>
      <c r="V306" s="169"/>
      <c r="W306" s="169"/>
      <c r="X306" s="169"/>
      <c r="Y306" s="169"/>
      <c r="Z306" s="169"/>
      <c r="AA306" s="169"/>
      <c r="AB306" s="169"/>
      <c r="AC306" s="169"/>
      <c r="AD306" s="169"/>
      <c r="AE306" s="169"/>
      <c r="AF306" s="169"/>
      <c r="AG306" s="169"/>
      <c r="AH306" s="169"/>
      <c r="AI306" s="169"/>
      <c r="AJ306" s="169"/>
      <c r="AK306" s="169"/>
      <c r="AL306" s="169"/>
      <c r="AM306" s="169"/>
      <c r="AN306" s="169"/>
      <c r="AO306" s="169"/>
      <c r="AP306" s="169"/>
    </row>
    <row r="307" spans="5:42" x14ac:dyDescent="0.2">
      <c r="E307" s="169"/>
      <c r="F307" s="169"/>
      <c r="G307" s="169"/>
      <c r="H307" s="169"/>
      <c r="I307" s="169"/>
      <c r="J307" s="169"/>
      <c r="K307" s="169"/>
      <c r="L307" s="169"/>
      <c r="M307" s="169"/>
      <c r="N307" s="169"/>
      <c r="O307" s="169"/>
      <c r="P307" s="169"/>
      <c r="Q307" s="169"/>
      <c r="R307" s="169"/>
      <c r="S307" s="169"/>
      <c r="T307" s="169"/>
      <c r="U307" s="169"/>
      <c r="V307" s="169"/>
      <c r="W307" s="169"/>
      <c r="X307" s="169"/>
      <c r="Y307" s="169"/>
      <c r="Z307" s="169"/>
      <c r="AA307" s="169"/>
      <c r="AB307" s="169"/>
      <c r="AC307" s="169"/>
      <c r="AD307" s="169"/>
      <c r="AE307" s="169"/>
      <c r="AF307" s="169"/>
      <c r="AG307" s="169"/>
      <c r="AH307" s="169"/>
      <c r="AI307" s="169"/>
      <c r="AJ307" s="169"/>
      <c r="AK307" s="169"/>
      <c r="AL307" s="169"/>
      <c r="AM307" s="169"/>
      <c r="AN307" s="169"/>
      <c r="AO307" s="169"/>
      <c r="AP307" s="169"/>
    </row>
    <row r="308" spans="5:42" x14ac:dyDescent="0.2">
      <c r="E308" s="169"/>
      <c r="F308" s="169"/>
      <c r="G308" s="169"/>
      <c r="H308" s="169"/>
      <c r="I308" s="169"/>
      <c r="J308" s="169"/>
      <c r="K308" s="169"/>
      <c r="L308" s="169"/>
      <c r="M308" s="169"/>
      <c r="N308" s="169"/>
      <c r="O308" s="169"/>
      <c r="P308" s="169"/>
      <c r="Q308" s="169"/>
      <c r="R308" s="169"/>
      <c r="S308" s="169"/>
      <c r="T308" s="169"/>
      <c r="U308" s="169"/>
      <c r="V308" s="169"/>
      <c r="W308" s="169"/>
      <c r="X308" s="169"/>
      <c r="Y308" s="169"/>
      <c r="Z308" s="169"/>
      <c r="AA308" s="169"/>
      <c r="AB308" s="169"/>
      <c r="AC308" s="169"/>
      <c r="AD308" s="169"/>
      <c r="AE308" s="169"/>
      <c r="AF308" s="169"/>
      <c r="AG308" s="169"/>
      <c r="AH308" s="169"/>
      <c r="AI308" s="169"/>
      <c r="AJ308" s="169"/>
      <c r="AK308" s="169"/>
      <c r="AL308" s="169"/>
      <c r="AM308" s="169"/>
      <c r="AN308" s="169"/>
      <c r="AO308" s="169"/>
      <c r="AP308" s="169"/>
    </row>
    <row r="309" spans="5:42" x14ac:dyDescent="0.2">
      <c r="E309" s="169"/>
      <c r="F309" s="169"/>
      <c r="G309" s="169"/>
      <c r="H309" s="169"/>
      <c r="I309" s="169"/>
      <c r="J309" s="169"/>
      <c r="K309" s="169"/>
      <c r="L309" s="169"/>
      <c r="M309" s="169"/>
      <c r="N309" s="169"/>
      <c r="O309" s="169"/>
      <c r="P309" s="169"/>
      <c r="Q309" s="169"/>
      <c r="R309" s="169"/>
      <c r="S309" s="169"/>
      <c r="T309" s="169"/>
      <c r="U309" s="169"/>
      <c r="V309" s="169"/>
      <c r="W309" s="169"/>
      <c r="X309" s="169"/>
      <c r="Y309" s="169"/>
      <c r="Z309" s="169"/>
      <c r="AA309" s="169"/>
      <c r="AB309" s="169"/>
      <c r="AC309" s="169"/>
      <c r="AD309" s="169"/>
      <c r="AE309" s="169"/>
      <c r="AF309" s="169"/>
      <c r="AG309" s="169"/>
      <c r="AH309" s="169"/>
      <c r="AI309" s="169"/>
      <c r="AJ309" s="169"/>
      <c r="AK309" s="169"/>
      <c r="AL309" s="169"/>
      <c r="AM309" s="169"/>
      <c r="AN309" s="169"/>
      <c r="AO309" s="169"/>
      <c r="AP309" s="169"/>
    </row>
    <row r="310" spans="5:42" x14ac:dyDescent="0.2">
      <c r="E310" s="169"/>
      <c r="F310" s="169"/>
      <c r="G310" s="169"/>
      <c r="H310" s="169"/>
      <c r="I310" s="169"/>
      <c r="J310" s="169"/>
      <c r="K310" s="169"/>
      <c r="L310" s="169"/>
      <c r="M310" s="169"/>
      <c r="N310" s="169"/>
      <c r="O310" s="169"/>
      <c r="P310" s="169"/>
      <c r="Q310" s="169"/>
      <c r="R310" s="169"/>
      <c r="S310" s="169"/>
      <c r="T310" s="169"/>
      <c r="U310" s="169"/>
      <c r="V310" s="169"/>
      <c r="W310" s="169"/>
      <c r="X310" s="169"/>
      <c r="Y310" s="169"/>
      <c r="Z310" s="169"/>
      <c r="AA310" s="169"/>
      <c r="AB310" s="169"/>
      <c r="AC310" s="169"/>
      <c r="AD310" s="169"/>
      <c r="AE310" s="169"/>
      <c r="AF310" s="169"/>
      <c r="AG310" s="169"/>
      <c r="AH310" s="169"/>
      <c r="AI310" s="169"/>
      <c r="AJ310" s="169"/>
      <c r="AK310" s="169"/>
      <c r="AL310" s="169"/>
      <c r="AM310" s="169"/>
      <c r="AN310" s="169"/>
      <c r="AO310" s="169"/>
      <c r="AP310" s="169"/>
    </row>
    <row r="311" spans="5:42" x14ac:dyDescent="0.2">
      <c r="E311" s="169"/>
      <c r="F311" s="169"/>
      <c r="G311" s="169"/>
      <c r="H311" s="169"/>
      <c r="I311" s="169"/>
      <c r="J311" s="169"/>
      <c r="K311" s="169"/>
      <c r="L311" s="169"/>
      <c r="M311" s="169"/>
      <c r="N311" s="169"/>
      <c r="O311" s="169"/>
      <c r="P311" s="169"/>
      <c r="Q311" s="169"/>
      <c r="R311" s="169"/>
      <c r="S311" s="169"/>
      <c r="T311" s="169"/>
      <c r="U311" s="169"/>
      <c r="V311" s="169"/>
      <c r="W311" s="169"/>
      <c r="X311" s="169"/>
      <c r="Y311" s="169"/>
      <c r="Z311" s="169"/>
      <c r="AA311" s="169"/>
      <c r="AB311" s="169"/>
      <c r="AC311" s="169"/>
      <c r="AD311" s="169"/>
      <c r="AE311" s="169"/>
      <c r="AF311" s="169"/>
      <c r="AG311" s="169"/>
      <c r="AH311" s="169"/>
      <c r="AI311" s="169"/>
      <c r="AJ311" s="169"/>
      <c r="AK311" s="169"/>
      <c r="AL311" s="169"/>
      <c r="AM311" s="169"/>
      <c r="AN311" s="169"/>
      <c r="AO311" s="169"/>
      <c r="AP311" s="169"/>
    </row>
    <row r="312" spans="5:42" x14ac:dyDescent="0.2">
      <c r="E312" s="169"/>
      <c r="F312" s="169"/>
      <c r="G312" s="169"/>
      <c r="H312" s="169"/>
      <c r="I312" s="169"/>
      <c r="J312" s="169"/>
      <c r="K312" s="169"/>
      <c r="L312" s="169"/>
      <c r="M312" s="169"/>
      <c r="N312" s="169"/>
      <c r="O312" s="169"/>
      <c r="P312" s="169"/>
      <c r="Q312" s="169"/>
      <c r="R312" s="169"/>
      <c r="S312" s="169"/>
      <c r="T312" s="169"/>
      <c r="U312" s="169"/>
      <c r="V312" s="169"/>
      <c r="W312" s="169"/>
      <c r="X312" s="169"/>
      <c r="Y312" s="169"/>
      <c r="Z312" s="169"/>
      <c r="AA312" s="169"/>
      <c r="AB312" s="169"/>
      <c r="AC312" s="169"/>
      <c r="AD312" s="169"/>
      <c r="AE312" s="169"/>
      <c r="AF312" s="169"/>
      <c r="AG312" s="169"/>
      <c r="AH312" s="169"/>
      <c r="AI312" s="169"/>
      <c r="AJ312" s="169"/>
      <c r="AK312" s="169"/>
      <c r="AL312" s="169"/>
      <c r="AM312" s="169"/>
      <c r="AN312" s="169"/>
      <c r="AO312" s="169"/>
      <c r="AP312" s="169"/>
    </row>
    <row r="313" spans="5:42" x14ac:dyDescent="0.2">
      <c r="E313" s="169"/>
      <c r="F313" s="169"/>
      <c r="G313" s="169"/>
      <c r="H313" s="169"/>
      <c r="I313" s="169"/>
      <c r="J313" s="169"/>
      <c r="K313" s="169"/>
      <c r="L313" s="169"/>
      <c r="M313" s="169"/>
      <c r="N313" s="169"/>
      <c r="O313" s="169"/>
      <c r="P313" s="169"/>
      <c r="Q313" s="169"/>
      <c r="R313" s="169"/>
      <c r="S313" s="169"/>
      <c r="T313" s="169"/>
      <c r="U313" s="169"/>
      <c r="V313" s="169"/>
      <c r="W313" s="169"/>
      <c r="X313" s="169"/>
      <c r="Y313" s="169"/>
      <c r="Z313" s="169"/>
      <c r="AA313" s="169"/>
      <c r="AB313" s="169"/>
      <c r="AC313" s="169"/>
      <c r="AD313" s="169"/>
      <c r="AE313" s="169"/>
      <c r="AF313" s="169"/>
      <c r="AG313" s="169"/>
      <c r="AH313" s="169"/>
      <c r="AI313" s="169"/>
      <c r="AJ313" s="169"/>
      <c r="AK313" s="169"/>
      <c r="AL313" s="169"/>
      <c r="AM313" s="169"/>
      <c r="AN313" s="169"/>
      <c r="AO313" s="169"/>
      <c r="AP313" s="169"/>
    </row>
    <row r="314" spans="5:42" x14ac:dyDescent="0.2">
      <c r="E314" s="169"/>
      <c r="F314" s="169"/>
      <c r="G314" s="169"/>
      <c r="H314" s="169"/>
      <c r="I314" s="169"/>
      <c r="J314" s="169"/>
      <c r="K314" s="169"/>
      <c r="L314" s="169"/>
      <c r="M314" s="169"/>
      <c r="N314" s="169"/>
      <c r="O314" s="169"/>
      <c r="P314" s="169"/>
      <c r="Q314" s="169"/>
      <c r="R314" s="169"/>
      <c r="S314" s="169"/>
      <c r="T314" s="169"/>
      <c r="U314" s="169"/>
      <c r="V314" s="169"/>
      <c r="W314" s="169"/>
      <c r="X314" s="169"/>
      <c r="Y314" s="169"/>
      <c r="Z314" s="169"/>
      <c r="AA314" s="169"/>
      <c r="AB314" s="169"/>
      <c r="AC314" s="169"/>
      <c r="AD314" s="169"/>
      <c r="AE314" s="169"/>
      <c r="AF314" s="169"/>
      <c r="AG314" s="169"/>
      <c r="AH314" s="169"/>
      <c r="AI314" s="169"/>
      <c r="AJ314" s="169"/>
      <c r="AK314" s="169"/>
      <c r="AL314" s="169"/>
      <c r="AM314" s="169"/>
      <c r="AN314" s="169"/>
      <c r="AO314" s="169"/>
      <c r="AP314" s="169"/>
    </row>
    <row r="315" spans="5:42" x14ac:dyDescent="0.2">
      <c r="E315" s="169"/>
      <c r="F315" s="169"/>
      <c r="G315" s="169"/>
      <c r="H315" s="169"/>
      <c r="I315" s="169"/>
      <c r="J315" s="169"/>
      <c r="K315" s="169"/>
      <c r="L315" s="169"/>
      <c r="M315" s="169"/>
      <c r="N315" s="169"/>
      <c r="O315" s="169"/>
      <c r="P315" s="169"/>
      <c r="Q315" s="169"/>
      <c r="R315" s="169"/>
      <c r="S315" s="169"/>
      <c r="T315" s="169"/>
      <c r="U315" s="169"/>
      <c r="V315" s="169"/>
      <c r="W315" s="169"/>
      <c r="X315" s="169"/>
      <c r="Y315" s="169"/>
      <c r="Z315" s="169"/>
      <c r="AA315" s="169"/>
      <c r="AB315" s="169"/>
      <c r="AC315" s="169"/>
      <c r="AD315" s="169"/>
      <c r="AE315" s="169"/>
      <c r="AF315" s="169"/>
      <c r="AG315" s="169"/>
      <c r="AH315" s="169"/>
      <c r="AI315" s="169"/>
      <c r="AJ315" s="169"/>
      <c r="AK315" s="169"/>
      <c r="AL315" s="169"/>
      <c r="AM315" s="169"/>
      <c r="AN315" s="169"/>
      <c r="AO315" s="169"/>
      <c r="AP315" s="169"/>
    </row>
    <row r="316" spans="5:42" x14ac:dyDescent="0.2">
      <c r="E316" s="169"/>
      <c r="F316" s="169"/>
      <c r="G316" s="169"/>
      <c r="H316" s="169"/>
      <c r="I316" s="169"/>
      <c r="J316" s="169"/>
      <c r="K316" s="169"/>
      <c r="L316" s="169"/>
      <c r="M316" s="169"/>
      <c r="N316" s="169"/>
      <c r="O316" s="169"/>
      <c r="P316" s="169"/>
      <c r="Q316" s="169"/>
      <c r="R316" s="169"/>
      <c r="S316" s="169"/>
      <c r="T316" s="169"/>
      <c r="U316" s="169"/>
      <c r="V316" s="169"/>
      <c r="W316" s="169"/>
      <c r="X316" s="169"/>
      <c r="Y316" s="169"/>
      <c r="Z316" s="169"/>
      <c r="AA316" s="169"/>
      <c r="AB316" s="169"/>
      <c r="AC316" s="169"/>
      <c r="AD316" s="169"/>
      <c r="AE316" s="169"/>
      <c r="AF316" s="169"/>
      <c r="AG316" s="169"/>
      <c r="AH316" s="169"/>
      <c r="AI316" s="169"/>
      <c r="AJ316" s="169"/>
      <c r="AK316" s="169"/>
      <c r="AL316" s="169"/>
      <c r="AM316" s="169"/>
      <c r="AN316" s="169"/>
      <c r="AO316" s="169"/>
      <c r="AP316" s="169"/>
    </row>
    <row r="317" spans="5:42" x14ac:dyDescent="0.2">
      <c r="E317" s="169"/>
      <c r="F317" s="169"/>
      <c r="G317" s="169"/>
      <c r="H317" s="169"/>
      <c r="I317" s="169"/>
      <c r="J317" s="169"/>
      <c r="K317" s="169"/>
      <c r="L317" s="169"/>
      <c r="M317" s="169"/>
      <c r="N317" s="169"/>
      <c r="O317" s="169"/>
      <c r="P317" s="169"/>
      <c r="Q317" s="169"/>
      <c r="R317" s="169"/>
      <c r="S317" s="169"/>
      <c r="T317" s="169"/>
      <c r="U317" s="169"/>
      <c r="V317" s="169"/>
      <c r="W317" s="169"/>
      <c r="X317" s="169"/>
      <c r="Y317" s="169"/>
      <c r="Z317" s="169"/>
      <c r="AA317" s="169"/>
      <c r="AB317" s="169"/>
      <c r="AC317" s="169"/>
      <c r="AD317" s="169"/>
      <c r="AE317" s="169"/>
      <c r="AF317" s="169"/>
      <c r="AG317" s="169"/>
      <c r="AH317" s="169"/>
      <c r="AI317" s="169"/>
      <c r="AJ317" s="169"/>
      <c r="AK317" s="169"/>
      <c r="AL317" s="169"/>
      <c r="AM317" s="169"/>
      <c r="AN317" s="169"/>
      <c r="AO317" s="169"/>
      <c r="AP317" s="169"/>
    </row>
    <row r="318" spans="5:42" x14ac:dyDescent="0.2">
      <c r="E318" s="169"/>
      <c r="F318" s="169"/>
      <c r="G318" s="169"/>
      <c r="H318" s="169"/>
      <c r="I318" s="169"/>
      <c r="J318" s="169"/>
      <c r="K318" s="169"/>
      <c r="L318" s="169"/>
      <c r="M318" s="169"/>
      <c r="N318" s="169"/>
      <c r="O318" s="169"/>
      <c r="P318" s="169"/>
      <c r="Q318" s="169"/>
      <c r="R318" s="169"/>
      <c r="S318" s="169"/>
      <c r="T318" s="169"/>
      <c r="U318" s="169"/>
      <c r="V318" s="169"/>
      <c r="W318" s="169"/>
      <c r="X318" s="169"/>
      <c r="Y318" s="169"/>
      <c r="Z318" s="169"/>
      <c r="AA318" s="169"/>
      <c r="AB318" s="169"/>
      <c r="AC318" s="169"/>
      <c r="AD318" s="169"/>
      <c r="AE318" s="169"/>
      <c r="AF318" s="169"/>
      <c r="AG318" s="169"/>
      <c r="AH318" s="169"/>
      <c r="AI318" s="169"/>
      <c r="AJ318" s="169"/>
      <c r="AK318" s="169"/>
      <c r="AL318" s="169"/>
      <c r="AM318" s="169"/>
      <c r="AN318" s="169"/>
      <c r="AO318" s="169"/>
      <c r="AP318" s="169"/>
    </row>
    <row r="319" spans="5:42" x14ac:dyDescent="0.2">
      <c r="E319" s="169"/>
      <c r="F319" s="169"/>
      <c r="G319" s="169"/>
      <c r="H319" s="169"/>
      <c r="I319" s="169"/>
      <c r="J319" s="169"/>
      <c r="K319" s="169"/>
      <c r="L319" s="169"/>
      <c r="M319" s="169"/>
      <c r="N319" s="169"/>
      <c r="O319" s="169"/>
      <c r="P319" s="169"/>
      <c r="Q319" s="169"/>
      <c r="R319" s="169"/>
      <c r="S319" s="169"/>
      <c r="T319" s="169"/>
      <c r="U319" s="169"/>
      <c r="V319" s="169"/>
      <c r="W319" s="169"/>
      <c r="X319" s="169"/>
      <c r="Y319" s="169"/>
      <c r="Z319" s="169"/>
      <c r="AA319" s="169"/>
      <c r="AB319" s="169"/>
      <c r="AC319" s="169"/>
      <c r="AD319" s="169"/>
      <c r="AE319" s="169"/>
      <c r="AF319" s="169"/>
      <c r="AG319" s="169"/>
      <c r="AH319" s="169"/>
      <c r="AI319" s="169"/>
      <c r="AJ319" s="169"/>
      <c r="AK319" s="169"/>
      <c r="AL319" s="169"/>
      <c r="AM319" s="169"/>
      <c r="AN319" s="169"/>
      <c r="AO319" s="169"/>
      <c r="AP319" s="169"/>
    </row>
    <row r="320" spans="5:42" x14ac:dyDescent="0.2">
      <c r="E320" s="169"/>
      <c r="F320" s="169"/>
      <c r="G320" s="169"/>
      <c r="H320" s="169"/>
      <c r="I320" s="169"/>
      <c r="J320" s="169"/>
      <c r="K320" s="169"/>
      <c r="L320" s="169"/>
      <c r="M320" s="169"/>
      <c r="N320" s="169"/>
      <c r="O320" s="169"/>
      <c r="P320" s="169"/>
      <c r="Q320" s="169"/>
      <c r="R320" s="169"/>
      <c r="S320" s="169"/>
      <c r="T320" s="169"/>
      <c r="U320" s="169"/>
      <c r="V320" s="169"/>
      <c r="W320" s="169"/>
      <c r="X320" s="169"/>
      <c r="Y320" s="169"/>
      <c r="Z320" s="169"/>
      <c r="AA320" s="169"/>
      <c r="AB320" s="169"/>
      <c r="AC320" s="169"/>
      <c r="AD320" s="169"/>
      <c r="AE320" s="169"/>
      <c r="AF320" s="169"/>
      <c r="AG320" s="169"/>
      <c r="AH320" s="169"/>
      <c r="AI320" s="169"/>
      <c r="AJ320" s="169"/>
      <c r="AK320" s="169"/>
      <c r="AL320" s="169"/>
      <c r="AM320" s="169"/>
      <c r="AN320" s="169"/>
      <c r="AO320" s="169"/>
      <c r="AP320" s="169"/>
    </row>
    <row r="321" spans="5:42" x14ac:dyDescent="0.2">
      <c r="E321" s="169"/>
      <c r="F321" s="169"/>
      <c r="G321" s="169"/>
      <c r="H321" s="169"/>
      <c r="I321" s="169"/>
      <c r="J321" s="169"/>
      <c r="K321" s="169"/>
      <c r="L321" s="169"/>
      <c r="M321" s="169"/>
      <c r="N321" s="169"/>
      <c r="O321" s="169"/>
      <c r="P321" s="169"/>
      <c r="Q321" s="169"/>
      <c r="R321" s="169"/>
      <c r="S321" s="169"/>
      <c r="T321" s="169"/>
      <c r="U321" s="169"/>
      <c r="V321" s="169"/>
      <c r="W321" s="169"/>
      <c r="X321" s="169"/>
      <c r="Y321" s="169"/>
      <c r="Z321" s="169"/>
      <c r="AA321" s="169"/>
      <c r="AB321" s="169"/>
      <c r="AC321" s="169"/>
      <c r="AD321" s="169"/>
      <c r="AE321" s="169"/>
      <c r="AF321" s="169"/>
      <c r="AG321" s="169"/>
      <c r="AH321" s="169"/>
      <c r="AI321" s="169"/>
      <c r="AJ321" s="169"/>
      <c r="AK321" s="169"/>
      <c r="AL321" s="169"/>
      <c r="AM321" s="169"/>
      <c r="AN321" s="169"/>
      <c r="AO321" s="169"/>
      <c r="AP321" s="169"/>
    </row>
    <row r="322" spans="5:42" x14ac:dyDescent="0.2">
      <c r="E322" s="169"/>
      <c r="F322" s="169"/>
      <c r="G322" s="169"/>
      <c r="H322" s="169"/>
      <c r="I322" s="169"/>
      <c r="J322" s="169"/>
      <c r="K322" s="169"/>
      <c r="L322" s="169"/>
      <c r="M322" s="169"/>
      <c r="N322" s="169"/>
      <c r="O322" s="169"/>
      <c r="P322" s="169"/>
      <c r="Q322" s="169"/>
      <c r="R322" s="169"/>
      <c r="S322" s="169"/>
      <c r="T322" s="169"/>
      <c r="U322" s="169"/>
      <c r="V322" s="169"/>
      <c r="W322" s="169"/>
      <c r="X322" s="169"/>
      <c r="Y322" s="169"/>
      <c r="Z322" s="169"/>
      <c r="AA322" s="169"/>
      <c r="AB322" s="169"/>
      <c r="AC322" s="169"/>
      <c r="AD322" s="169"/>
      <c r="AE322" s="169"/>
      <c r="AF322" s="169"/>
      <c r="AG322" s="169"/>
      <c r="AH322" s="169"/>
      <c r="AI322" s="169"/>
      <c r="AJ322" s="169"/>
      <c r="AK322" s="169"/>
      <c r="AL322" s="169"/>
      <c r="AM322" s="169"/>
      <c r="AN322" s="169"/>
      <c r="AO322" s="169"/>
      <c r="AP322" s="169"/>
    </row>
    <row r="323" spans="5:42" x14ac:dyDescent="0.2">
      <c r="E323" s="169"/>
      <c r="F323" s="169"/>
      <c r="G323" s="169"/>
      <c r="H323" s="169"/>
      <c r="I323" s="169"/>
      <c r="J323" s="169"/>
      <c r="K323" s="169"/>
      <c r="L323" s="169"/>
      <c r="M323" s="169"/>
      <c r="N323" s="169"/>
      <c r="O323" s="169"/>
      <c r="P323" s="169"/>
      <c r="Q323" s="169"/>
      <c r="R323" s="169"/>
      <c r="S323" s="169"/>
      <c r="T323" s="169"/>
      <c r="U323" s="169"/>
      <c r="V323" s="169"/>
      <c r="W323" s="169"/>
      <c r="X323" s="169"/>
      <c r="Y323" s="169"/>
      <c r="Z323" s="169"/>
      <c r="AA323" s="169"/>
      <c r="AB323" s="169"/>
      <c r="AC323" s="169"/>
      <c r="AD323" s="169"/>
      <c r="AE323" s="169"/>
      <c r="AF323" s="169"/>
      <c r="AG323" s="169"/>
      <c r="AH323" s="169"/>
      <c r="AI323" s="169"/>
      <c r="AJ323" s="169"/>
      <c r="AK323" s="169"/>
      <c r="AL323" s="169"/>
      <c r="AM323" s="169"/>
      <c r="AN323" s="169"/>
      <c r="AO323" s="169"/>
      <c r="AP323" s="169"/>
    </row>
    <row r="324" spans="5:42" x14ac:dyDescent="0.2">
      <c r="E324" s="169"/>
      <c r="F324" s="169"/>
      <c r="G324" s="169"/>
      <c r="H324" s="169"/>
      <c r="I324" s="169"/>
      <c r="J324" s="169"/>
      <c r="K324" s="169"/>
      <c r="L324" s="169"/>
      <c r="M324" s="169"/>
      <c r="N324" s="169"/>
      <c r="O324" s="169"/>
      <c r="P324" s="169"/>
      <c r="Q324" s="169"/>
      <c r="R324" s="169"/>
      <c r="S324" s="169"/>
      <c r="T324" s="169"/>
      <c r="U324" s="169"/>
      <c r="V324" s="169"/>
      <c r="W324" s="169"/>
      <c r="X324" s="169"/>
      <c r="Y324" s="169"/>
      <c r="Z324" s="169"/>
      <c r="AA324" s="169"/>
      <c r="AB324" s="169"/>
      <c r="AC324" s="169"/>
      <c r="AD324" s="169"/>
      <c r="AE324" s="169"/>
      <c r="AF324" s="169"/>
      <c r="AG324" s="169"/>
      <c r="AH324" s="169"/>
      <c r="AI324" s="169"/>
      <c r="AJ324" s="169"/>
      <c r="AK324" s="169"/>
      <c r="AL324" s="169"/>
      <c r="AM324" s="169"/>
      <c r="AN324" s="169"/>
      <c r="AO324" s="169"/>
      <c r="AP324" s="169"/>
    </row>
    <row r="325" spans="5:42" x14ac:dyDescent="0.2">
      <c r="E325" s="169"/>
      <c r="F325" s="169"/>
      <c r="G325" s="169"/>
      <c r="H325" s="169"/>
      <c r="I325" s="169"/>
      <c r="J325" s="169"/>
      <c r="K325" s="169"/>
      <c r="L325" s="169"/>
      <c r="M325" s="169"/>
      <c r="N325" s="169"/>
      <c r="O325" s="169"/>
      <c r="P325" s="169"/>
      <c r="Q325" s="169"/>
      <c r="R325" s="169"/>
      <c r="S325" s="169"/>
      <c r="T325" s="169"/>
      <c r="U325" s="169"/>
      <c r="V325" s="169"/>
      <c r="W325" s="169"/>
      <c r="X325" s="169"/>
      <c r="Y325" s="169"/>
      <c r="Z325" s="169"/>
      <c r="AA325" s="169"/>
      <c r="AB325" s="169"/>
      <c r="AC325" s="169"/>
      <c r="AD325" s="169"/>
      <c r="AE325" s="169"/>
      <c r="AF325" s="169"/>
      <c r="AG325" s="169"/>
      <c r="AH325" s="169"/>
      <c r="AI325" s="169"/>
      <c r="AJ325" s="169"/>
      <c r="AK325" s="169"/>
      <c r="AL325" s="169"/>
      <c r="AM325" s="169"/>
      <c r="AN325" s="169"/>
      <c r="AO325" s="169"/>
      <c r="AP325" s="169"/>
    </row>
    <row r="326" spans="5:42" x14ac:dyDescent="0.2">
      <c r="E326" s="169"/>
      <c r="F326" s="169"/>
      <c r="G326" s="169"/>
      <c r="H326" s="169"/>
      <c r="I326" s="169"/>
      <c r="J326" s="169"/>
      <c r="K326" s="169"/>
      <c r="L326" s="169"/>
      <c r="M326" s="169"/>
      <c r="N326" s="169"/>
      <c r="O326" s="169"/>
      <c r="P326" s="169"/>
      <c r="Q326" s="169"/>
      <c r="R326" s="169"/>
      <c r="S326" s="169"/>
      <c r="T326" s="169"/>
      <c r="U326" s="169"/>
      <c r="V326" s="169"/>
      <c r="W326" s="169"/>
      <c r="X326" s="169"/>
      <c r="Y326" s="169"/>
      <c r="Z326" s="169"/>
      <c r="AA326" s="169"/>
      <c r="AB326" s="169"/>
      <c r="AC326" s="169"/>
      <c r="AD326" s="169"/>
      <c r="AE326" s="169"/>
      <c r="AF326" s="169"/>
      <c r="AG326" s="169"/>
      <c r="AH326" s="169"/>
      <c r="AI326" s="169"/>
      <c r="AJ326" s="169"/>
      <c r="AK326" s="169"/>
      <c r="AL326" s="169"/>
      <c r="AM326" s="169"/>
      <c r="AN326" s="169"/>
      <c r="AO326" s="169"/>
      <c r="AP326" s="169"/>
    </row>
    <row r="327" spans="5:42" x14ac:dyDescent="0.2">
      <c r="E327" s="169"/>
      <c r="F327" s="169"/>
      <c r="G327" s="169"/>
      <c r="H327" s="169"/>
      <c r="I327" s="169"/>
      <c r="J327" s="169"/>
      <c r="K327" s="169"/>
      <c r="L327" s="169"/>
      <c r="M327" s="169"/>
      <c r="N327" s="169"/>
      <c r="O327" s="169"/>
      <c r="P327" s="169"/>
      <c r="Q327" s="169"/>
      <c r="R327" s="169"/>
      <c r="S327" s="169"/>
      <c r="T327" s="169"/>
      <c r="U327" s="169"/>
      <c r="V327" s="169"/>
      <c r="W327" s="169"/>
      <c r="X327" s="169"/>
      <c r="Y327" s="169"/>
      <c r="Z327" s="169"/>
      <c r="AA327" s="169"/>
      <c r="AB327" s="169"/>
      <c r="AC327" s="169"/>
      <c r="AD327" s="169"/>
      <c r="AE327" s="169"/>
      <c r="AF327" s="169"/>
      <c r="AG327" s="169"/>
      <c r="AH327" s="169"/>
      <c r="AI327" s="169"/>
      <c r="AJ327" s="169"/>
      <c r="AK327" s="169"/>
      <c r="AL327" s="169"/>
      <c r="AM327" s="169"/>
      <c r="AN327" s="169"/>
      <c r="AO327" s="169"/>
      <c r="AP327" s="169"/>
    </row>
    <row r="328" spans="5:42" x14ac:dyDescent="0.2">
      <c r="E328" s="169"/>
      <c r="F328" s="169"/>
      <c r="G328" s="169"/>
      <c r="H328" s="169"/>
      <c r="I328" s="169"/>
      <c r="J328" s="169"/>
      <c r="K328" s="169"/>
      <c r="L328" s="169"/>
      <c r="M328" s="169"/>
      <c r="N328" s="169"/>
      <c r="O328" s="169"/>
      <c r="P328" s="169"/>
      <c r="Q328" s="169"/>
      <c r="R328" s="169"/>
      <c r="S328" s="169"/>
      <c r="T328" s="169"/>
      <c r="U328" s="169"/>
      <c r="V328" s="169"/>
      <c r="W328" s="169"/>
      <c r="X328" s="169"/>
      <c r="Y328" s="169"/>
      <c r="Z328" s="169"/>
      <c r="AA328" s="169"/>
      <c r="AB328" s="169"/>
      <c r="AC328" s="169"/>
      <c r="AD328" s="169"/>
      <c r="AE328" s="169"/>
      <c r="AF328" s="169"/>
      <c r="AG328" s="169"/>
      <c r="AH328" s="169"/>
      <c r="AI328" s="169"/>
      <c r="AJ328" s="169"/>
      <c r="AK328" s="169"/>
      <c r="AL328" s="169"/>
      <c r="AM328" s="169"/>
      <c r="AN328" s="169"/>
      <c r="AO328" s="169"/>
      <c r="AP328" s="169"/>
    </row>
    <row r="329" spans="5:42" x14ac:dyDescent="0.2">
      <c r="E329" s="169"/>
      <c r="F329" s="169"/>
      <c r="G329" s="169"/>
      <c r="H329" s="169"/>
      <c r="I329" s="169"/>
      <c r="J329" s="169"/>
      <c r="K329" s="169"/>
      <c r="L329" s="169"/>
      <c r="M329" s="169"/>
      <c r="N329" s="169"/>
      <c r="O329" s="169"/>
      <c r="P329" s="169"/>
      <c r="Q329" s="169"/>
      <c r="R329" s="169"/>
      <c r="S329" s="169"/>
      <c r="T329" s="169"/>
      <c r="U329" s="169"/>
      <c r="V329" s="169"/>
      <c r="W329" s="169"/>
      <c r="X329" s="169"/>
      <c r="Y329" s="169"/>
      <c r="Z329" s="169"/>
      <c r="AA329" s="169"/>
      <c r="AB329" s="169"/>
      <c r="AC329" s="169"/>
      <c r="AD329" s="169"/>
      <c r="AE329" s="169"/>
      <c r="AF329" s="169"/>
      <c r="AG329" s="169"/>
      <c r="AH329" s="169"/>
      <c r="AI329" s="169"/>
      <c r="AJ329" s="169"/>
      <c r="AK329" s="169"/>
      <c r="AL329" s="169"/>
      <c r="AM329" s="169"/>
      <c r="AN329" s="169"/>
      <c r="AO329" s="169"/>
      <c r="AP329" s="169"/>
    </row>
    <row r="330" spans="5:42" x14ac:dyDescent="0.2">
      <c r="E330" s="169"/>
      <c r="F330" s="169"/>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c r="AI330" s="169"/>
      <c r="AJ330" s="169"/>
      <c r="AK330" s="169"/>
      <c r="AL330" s="169"/>
      <c r="AM330" s="169"/>
      <c r="AN330" s="169"/>
      <c r="AO330" s="169"/>
      <c r="AP330" s="169"/>
    </row>
    <row r="331" spans="5:42" x14ac:dyDescent="0.2">
      <c r="E331" s="169"/>
      <c r="F331" s="169"/>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c r="AI331" s="169"/>
      <c r="AJ331" s="169"/>
      <c r="AK331" s="169"/>
      <c r="AL331" s="169"/>
      <c r="AM331" s="169"/>
      <c r="AN331" s="169"/>
      <c r="AO331" s="169"/>
      <c r="AP331" s="169"/>
    </row>
    <row r="332" spans="5:42" x14ac:dyDescent="0.2">
      <c r="E332" s="169"/>
      <c r="F332" s="169"/>
      <c r="G332" s="169"/>
      <c r="H332" s="169"/>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c r="AI332" s="169"/>
      <c r="AJ332" s="169"/>
      <c r="AK332" s="169"/>
      <c r="AL332" s="169"/>
      <c r="AM332" s="169"/>
      <c r="AN332" s="169"/>
      <c r="AO332" s="169"/>
      <c r="AP332" s="169"/>
    </row>
    <row r="333" spans="5:42" x14ac:dyDescent="0.2">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c r="AA333" s="169"/>
      <c r="AB333" s="169"/>
      <c r="AC333" s="169"/>
      <c r="AD333" s="169"/>
      <c r="AE333" s="169"/>
      <c r="AF333" s="169"/>
      <c r="AG333" s="169"/>
      <c r="AH333" s="169"/>
      <c r="AI333" s="169"/>
      <c r="AJ333" s="169"/>
      <c r="AK333" s="169"/>
      <c r="AL333" s="169"/>
      <c r="AM333" s="169"/>
      <c r="AN333" s="169"/>
      <c r="AO333" s="169"/>
      <c r="AP333" s="169"/>
    </row>
    <row r="334" spans="5:42" x14ac:dyDescent="0.2">
      <c r="E334" s="169"/>
      <c r="F334" s="169"/>
      <c r="G334" s="169"/>
      <c r="H334" s="169"/>
      <c r="I334" s="169"/>
      <c r="J334" s="169"/>
      <c r="K334" s="169"/>
      <c r="L334" s="169"/>
      <c r="M334" s="169"/>
      <c r="N334" s="169"/>
      <c r="O334" s="169"/>
      <c r="P334" s="169"/>
      <c r="Q334" s="169"/>
      <c r="R334" s="169"/>
      <c r="S334" s="169"/>
      <c r="T334" s="169"/>
      <c r="U334" s="169"/>
      <c r="V334" s="169"/>
      <c r="W334" s="169"/>
      <c r="X334" s="169"/>
      <c r="Y334" s="169"/>
      <c r="Z334" s="169"/>
      <c r="AA334" s="169"/>
      <c r="AB334" s="169"/>
      <c r="AC334" s="169"/>
      <c r="AD334" s="169"/>
      <c r="AE334" s="169"/>
      <c r="AF334" s="169"/>
      <c r="AG334" s="169"/>
      <c r="AH334" s="169"/>
      <c r="AI334" s="169"/>
      <c r="AJ334" s="169"/>
      <c r="AK334" s="169"/>
      <c r="AL334" s="169"/>
      <c r="AM334" s="169"/>
      <c r="AN334" s="169"/>
      <c r="AO334" s="169"/>
      <c r="AP334" s="169"/>
    </row>
    <row r="335" spans="5:42" x14ac:dyDescent="0.2">
      <c r="E335" s="169"/>
      <c r="F335" s="169"/>
      <c r="G335" s="169"/>
      <c r="H335" s="169"/>
      <c r="I335" s="169"/>
      <c r="J335" s="169"/>
      <c r="K335" s="169"/>
      <c r="L335" s="169"/>
      <c r="M335" s="169"/>
      <c r="N335" s="169"/>
      <c r="O335" s="169"/>
      <c r="P335" s="169"/>
      <c r="Q335" s="169"/>
      <c r="R335" s="169"/>
      <c r="S335" s="169"/>
      <c r="T335" s="169"/>
      <c r="U335" s="169"/>
      <c r="V335" s="169"/>
      <c r="W335" s="169"/>
      <c r="X335" s="169"/>
      <c r="Y335" s="169"/>
      <c r="Z335" s="169"/>
      <c r="AA335" s="169"/>
      <c r="AB335" s="169"/>
      <c r="AC335" s="169"/>
      <c r="AD335" s="169"/>
      <c r="AE335" s="169"/>
      <c r="AF335" s="169"/>
      <c r="AG335" s="169"/>
      <c r="AH335" s="169"/>
      <c r="AI335" s="169"/>
      <c r="AJ335" s="169"/>
      <c r="AK335" s="169"/>
      <c r="AL335" s="169"/>
      <c r="AM335" s="169"/>
      <c r="AN335" s="169"/>
      <c r="AO335" s="169"/>
      <c r="AP335" s="169"/>
    </row>
    <row r="336" spans="5:42" x14ac:dyDescent="0.2">
      <c r="E336" s="169"/>
      <c r="F336" s="169"/>
      <c r="G336" s="169"/>
      <c r="H336" s="169"/>
      <c r="I336" s="169"/>
      <c r="J336" s="169"/>
      <c r="K336" s="169"/>
      <c r="L336" s="169"/>
      <c r="M336" s="169"/>
      <c r="N336" s="169"/>
      <c r="O336" s="169"/>
      <c r="P336" s="169"/>
      <c r="Q336" s="169"/>
      <c r="R336" s="169"/>
      <c r="S336" s="169"/>
      <c r="T336" s="169"/>
      <c r="U336" s="169"/>
      <c r="V336" s="169"/>
      <c r="W336" s="169"/>
      <c r="X336" s="169"/>
      <c r="Y336" s="169"/>
      <c r="Z336" s="169"/>
      <c r="AA336" s="169"/>
      <c r="AB336" s="169"/>
      <c r="AC336" s="169"/>
      <c r="AD336" s="169"/>
      <c r="AE336" s="169"/>
      <c r="AF336" s="169"/>
      <c r="AG336" s="169"/>
      <c r="AH336" s="169"/>
      <c r="AI336" s="169"/>
      <c r="AJ336" s="169"/>
      <c r="AK336" s="169"/>
      <c r="AL336" s="169"/>
      <c r="AM336" s="169"/>
      <c r="AN336" s="169"/>
      <c r="AO336" s="169"/>
      <c r="AP336" s="169"/>
    </row>
    <row r="337" spans="5:42" x14ac:dyDescent="0.2">
      <c r="E337" s="169"/>
      <c r="F337" s="169"/>
      <c r="G337" s="169"/>
      <c r="H337" s="169"/>
      <c r="I337" s="169"/>
      <c r="J337" s="169"/>
      <c r="K337" s="169"/>
      <c r="L337" s="169"/>
      <c r="M337" s="169"/>
      <c r="N337" s="169"/>
      <c r="O337" s="169"/>
      <c r="P337" s="169"/>
      <c r="Q337" s="169"/>
      <c r="R337" s="169"/>
      <c r="S337" s="169"/>
      <c r="T337" s="169"/>
      <c r="U337" s="169"/>
      <c r="V337" s="169"/>
      <c r="W337" s="169"/>
      <c r="X337" s="169"/>
      <c r="Y337" s="169"/>
      <c r="Z337" s="169"/>
      <c r="AA337" s="169"/>
      <c r="AB337" s="169"/>
      <c r="AC337" s="169"/>
      <c r="AD337" s="169"/>
      <c r="AE337" s="169"/>
      <c r="AF337" s="169"/>
      <c r="AG337" s="169"/>
      <c r="AH337" s="169"/>
      <c r="AI337" s="169"/>
      <c r="AJ337" s="169"/>
      <c r="AK337" s="169"/>
      <c r="AL337" s="169"/>
      <c r="AM337" s="169"/>
      <c r="AN337" s="169"/>
      <c r="AO337" s="169"/>
      <c r="AP337" s="169"/>
    </row>
    <row r="338" spans="5:42" x14ac:dyDescent="0.2">
      <c r="E338" s="169"/>
      <c r="F338" s="169"/>
      <c r="G338" s="169"/>
      <c r="H338" s="169"/>
      <c r="I338" s="169"/>
      <c r="J338" s="169"/>
      <c r="K338" s="169"/>
      <c r="L338" s="169"/>
      <c r="M338" s="169"/>
      <c r="N338" s="169"/>
      <c r="O338" s="169"/>
      <c r="P338" s="169"/>
      <c r="Q338" s="169"/>
      <c r="R338" s="169"/>
      <c r="S338" s="169"/>
      <c r="T338" s="169"/>
      <c r="U338" s="169"/>
      <c r="V338" s="169"/>
      <c r="W338" s="169"/>
      <c r="X338" s="169"/>
      <c r="Y338" s="169"/>
      <c r="Z338" s="169"/>
      <c r="AA338" s="169"/>
      <c r="AB338" s="169"/>
      <c r="AC338" s="169"/>
      <c r="AD338" s="169"/>
      <c r="AE338" s="169"/>
      <c r="AF338" s="169"/>
      <c r="AG338" s="169"/>
      <c r="AH338" s="169"/>
      <c r="AI338" s="169"/>
      <c r="AJ338" s="169"/>
      <c r="AK338" s="169"/>
      <c r="AL338" s="169"/>
      <c r="AM338" s="169"/>
      <c r="AN338" s="169"/>
      <c r="AO338" s="169"/>
      <c r="AP338" s="169"/>
    </row>
    <row r="339" spans="5:42" x14ac:dyDescent="0.2">
      <c r="E339" s="169"/>
      <c r="F339" s="169"/>
      <c r="G339" s="169"/>
      <c r="H339" s="169"/>
      <c r="I339" s="169"/>
      <c r="J339" s="169"/>
      <c r="K339" s="169"/>
      <c r="L339" s="169"/>
      <c r="M339" s="169"/>
      <c r="N339" s="169"/>
      <c r="O339" s="169"/>
      <c r="P339" s="169"/>
      <c r="Q339" s="169"/>
      <c r="R339" s="169"/>
      <c r="S339" s="169"/>
      <c r="T339" s="169"/>
      <c r="U339" s="169"/>
      <c r="V339" s="169"/>
      <c r="W339" s="169"/>
      <c r="X339" s="169"/>
      <c r="Y339" s="169"/>
      <c r="Z339" s="169"/>
      <c r="AA339" s="169"/>
      <c r="AB339" s="169"/>
      <c r="AC339" s="169"/>
      <c r="AD339" s="169"/>
      <c r="AE339" s="169"/>
      <c r="AF339" s="169"/>
      <c r="AG339" s="169"/>
      <c r="AH339" s="169"/>
      <c r="AI339" s="169"/>
      <c r="AJ339" s="169"/>
      <c r="AK339" s="169"/>
      <c r="AL339" s="169"/>
      <c r="AM339" s="169"/>
      <c r="AN339" s="169"/>
      <c r="AO339" s="169"/>
      <c r="AP339" s="169"/>
    </row>
    <row r="340" spans="5:42" x14ac:dyDescent="0.2">
      <c r="E340" s="169"/>
      <c r="F340" s="169"/>
      <c r="G340" s="169"/>
      <c r="H340" s="169"/>
      <c r="I340" s="169"/>
      <c r="J340" s="169"/>
      <c r="K340" s="169"/>
      <c r="L340" s="169"/>
      <c r="M340" s="169"/>
      <c r="N340" s="169"/>
      <c r="O340" s="169"/>
      <c r="P340" s="169"/>
      <c r="Q340" s="169"/>
      <c r="R340" s="169"/>
      <c r="S340" s="169"/>
      <c r="T340" s="169"/>
      <c r="U340" s="169"/>
      <c r="V340" s="169"/>
      <c r="W340" s="169"/>
      <c r="X340" s="169"/>
      <c r="Y340" s="169"/>
      <c r="Z340" s="169"/>
      <c r="AA340" s="169"/>
      <c r="AB340" s="169"/>
      <c r="AC340" s="169"/>
      <c r="AD340" s="169"/>
      <c r="AE340" s="169"/>
      <c r="AF340" s="169"/>
      <c r="AG340" s="169"/>
      <c r="AH340" s="169"/>
      <c r="AI340" s="169"/>
      <c r="AJ340" s="169"/>
      <c r="AK340" s="169"/>
      <c r="AL340" s="169"/>
      <c r="AM340" s="169"/>
      <c r="AN340" s="169"/>
      <c r="AO340" s="169"/>
      <c r="AP340" s="169"/>
    </row>
    <row r="341" spans="5:42" x14ac:dyDescent="0.2">
      <c r="E341" s="169"/>
      <c r="F341" s="169"/>
      <c r="G341" s="169"/>
      <c r="H341" s="169"/>
      <c r="I341" s="169"/>
      <c r="J341" s="169"/>
      <c r="K341" s="169"/>
      <c r="L341" s="169"/>
      <c r="M341" s="169"/>
      <c r="N341" s="169"/>
      <c r="O341" s="169"/>
      <c r="P341" s="169"/>
      <c r="Q341" s="169"/>
      <c r="R341" s="169"/>
      <c r="S341" s="169"/>
      <c r="T341" s="169"/>
      <c r="U341" s="169"/>
      <c r="V341" s="169"/>
      <c r="W341" s="169"/>
      <c r="X341" s="169"/>
      <c r="Y341" s="169"/>
      <c r="Z341" s="169"/>
      <c r="AA341" s="169"/>
      <c r="AB341" s="169"/>
      <c r="AC341" s="169"/>
      <c r="AD341" s="169"/>
      <c r="AE341" s="169"/>
      <c r="AF341" s="169"/>
      <c r="AG341" s="169"/>
      <c r="AH341" s="169"/>
      <c r="AI341" s="169"/>
      <c r="AJ341" s="169"/>
      <c r="AK341" s="169"/>
      <c r="AL341" s="169"/>
      <c r="AM341" s="169"/>
      <c r="AN341" s="169"/>
      <c r="AO341" s="169"/>
      <c r="AP341" s="169"/>
    </row>
    <row r="342" spans="5:42" x14ac:dyDescent="0.2">
      <c r="E342" s="169"/>
      <c r="F342" s="169"/>
      <c r="G342" s="169"/>
      <c r="H342" s="169"/>
      <c r="I342" s="169"/>
      <c r="J342" s="169"/>
      <c r="K342" s="169"/>
      <c r="L342" s="169"/>
      <c r="M342" s="169"/>
      <c r="N342" s="169"/>
      <c r="O342" s="169"/>
      <c r="P342" s="169"/>
      <c r="Q342" s="169"/>
      <c r="R342" s="169"/>
      <c r="S342" s="169"/>
      <c r="T342" s="169"/>
      <c r="U342" s="169"/>
      <c r="V342" s="169"/>
      <c r="W342" s="169"/>
      <c r="X342" s="169"/>
      <c r="Y342" s="169"/>
      <c r="Z342" s="169"/>
      <c r="AA342" s="169"/>
      <c r="AB342" s="169"/>
      <c r="AC342" s="169"/>
      <c r="AD342" s="169"/>
      <c r="AE342" s="169"/>
      <c r="AF342" s="169"/>
      <c r="AG342" s="169"/>
      <c r="AH342" s="169"/>
      <c r="AI342" s="169"/>
      <c r="AJ342" s="169"/>
      <c r="AK342" s="169"/>
      <c r="AL342" s="169"/>
      <c r="AM342" s="169"/>
      <c r="AN342" s="169"/>
      <c r="AO342" s="169"/>
      <c r="AP342" s="169"/>
    </row>
    <row r="343" spans="5:42" x14ac:dyDescent="0.2">
      <c r="E343" s="169"/>
      <c r="F343" s="169"/>
      <c r="G343" s="169"/>
      <c r="H343" s="169"/>
      <c r="I343" s="169"/>
      <c r="J343" s="169"/>
      <c r="K343" s="169"/>
      <c r="L343" s="169"/>
      <c r="M343" s="169"/>
      <c r="N343" s="169"/>
      <c r="O343" s="169"/>
      <c r="P343" s="169"/>
      <c r="Q343" s="169"/>
      <c r="R343" s="169"/>
      <c r="S343" s="169"/>
      <c r="T343" s="169"/>
      <c r="U343" s="169"/>
      <c r="V343" s="169"/>
      <c r="W343" s="169"/>
      <c r="X343" s="169"/>
      <c r="Y343" s="169"/>
      <c r="Z343" s="169"/>
      <c r="AA343" s="169"/>
      <c r="AB343" s="169"/>
      <c r="AC343" s="169"/>
      <c r="AD343" s="169"/>
      <c r="AE343" s="169"/>
      <c r="AF343" s="169"/>
      <c r="AG343" s="169"/>
      <c r="AH343" s="169"/>
      <c r="AI343" s="169"/>
      <c r="AJ343" s="169"/>
      <c r="AK343" s="169"/>
      <c r="AL343" s="169"/>
      <c r="AM343" s="169"/>
      <c r="AN343" s="169"/>
      <c r="AO343" s="169"/>
      <c r="AP343" s="169"/>
    </row>
    <row r="344" spans="5:42" x14ac:dyDescent="0.2">
      <c r="E344" s="169"/>
      <c r="F344" s="169"/>
      <c r="G344" s="169"/>
      <c r="H344" s="169"/>
      <c r="I344" s="169"/>
      <c r="J344" s="169"/>
      <c r="K344" s="169"/>
      <c r="L344" s="169"/>
      <c r="M344" s="169"/>
      <c r="N344" s="169"/>
      <c r="O344" s="169"/>
      <c r="P344" s="169"/>
      <c r="Q344" s="169"/>
      <c r="R344" s="169"/>
      <c r="S344" s="169"/>
      <c r="T344" s="169"/>
      <c r="U344" s="169"/>
      <c r="V344" s="169"/>
      <c r="W344" s="169"/>
      <c r="X344" s="169"/>
      <c r="Y344" s="169"/>
      <c r="Z344" s="169"/>
      <c r="AA344" s="169"/>
      <c r="AB344" s="169"/>
      <c r="AC344" s="169"/>
      <c r="AD344" s="169"/>
      <c r="AE344" s="169"/>
      <c r="AF344" s="169"/>
      <c r="AG344" s="169"/>
      <c r="AH344" s="169"/>
      <c r="AI344" s="169"/>
      <c r="AJ344" s="169"/>
      <c r="AK344" s="169"/>
      <c r="AL344" s="169"/>
      <c r="AM344" s="169"/>
      <c r="AN344" s="169"/>
      <c r="AO344" s="169"/>
      <c r="AP344" s="169"/>
    </row>
    <row r="345" spans="5:42" x14ac:dyDescent="0.2">
      <c r="E345" s="169"/>
      <c r="F345" s="169"/>
      <c r="G345" s="169"/>
      <c r="H345" s="169"/>
      <c r="I345" s="169"/>
      <c r="J345" s="169"/>
      <c r="K345" s="169"/>
      <c r="L345" s="169"/>
      <c r="M345" s="169"/>
      <c r="N345" s="169"/>
      <c r="O345" s="169"/>
      <c r="P345" s="169"/>
      <c r="Q345" s="169"/>
      <c r="R345" s="169"/>
      <c r="S345" s="169"/>
      <c r="T345" s="169"/>
      <c r="U345" s="169"/>
      <c r="V345" s="169"/>
      <c r="W345" s="169"/>
      <c r="X345" s="169"/>
      <c r="Y345" s="169"/>
      <c r="Z345" s="169"/>
      <c r="AA345" s="169"/>
      <c r="AB345" s="169"/>
      <c r="AC345" s="169"/>
      <c r="AD345" s="169"/>
      <c r="AE345" s="169"/>
      <c r="AF345" s="169"/>
      <c r="AG345" s="169"/>
      <c r="AH345" s="169"/>
      <c r="AI345" s="169"/>
      <c r="AJ345" s="169"/>
      <c r="AK345" s="169"/>
      <c r="AL345" s="169"/>
      <c r="AM345" s="169"/>
      <c r="AN345" s="169"/>
      <c r="AO345" s="169"/>
      <c r="AP345" s="169"/>
    </row>
    <row r="346" spans="5:42" x14ac:dyDescent="0.2">
      <c r="E346" s="169"/>
      <c r="F346" s="169"/>
      <c r="G346" s="169"/>
      <c r="H346" s="169"/>
      <c r="I346" s="169"/>
      <c r="J346" s="169"/>
      <c r="K346" s="169"/>
      <c r="L346" s="169"/>
      <c r="M346" s="169"/>
      <c r="N346" s="169"/>
      <c r="O346" s="169"/>
      <c r="P346" s="169"/>
      <c r="Q346" s="169"/>
      <c r="R346" s="169"/>
      <c r="S346" s="169"/>
      <c r="T346" s="169"/>
      <c r="U346" s="169"/>
      <c r="V346" s="169"/>
      <c r="W346" s="169"/>
      <c r="X346" s="169"/>
      <c r="Y346" s="169"/>
      <c r="Z346" s="169"/>
      <c r="AA346" s="169"/>
      <c r="AB346" s="169"/>
      <c r="AC346" s="169"/>
      <c r="AD346" s="169"/>
      <c r="AE346" s="169"/>
      <c r="AF346" s="169"/>
      <c r="AG346" s="169"/>
      <c r="AH346" s="169"/>
      <c r="AI346" s="169"/>
      <c r="AJ346" s="169"/>
      <c r="AK346" s="169"/>
      <c r="AL346" s="169"/>
      <c r="AM346" s="169"/>
      <c r="AN346" s="169"/>
      <c r="AO346" s="169"/>
      <c r="AP346" s="169"/>
    </row>
    <row r="347" spans="5:42" x14ac:dyDescent="0.2">
      <c r="E347" s="169"/>
      <c r="F347" s="169"/>
      <c r="G347" s="169"/>
      <c r="H347" s="169"/>
      <c r="I347" s="169"/>
      <c r="J347" s="169"/>
      <c r="K347" s="169"/>
      <c r="L347" s="169"/>
      <c r="M347" s="169"/>
      <c r="N347" s="169"/>
      <c r="O347" s="169"/>
      <c r="P347" s="169"/>
      <c r="Q347" s="169"/>
      <c r="R347" s="169"/>
      <c r="S347" s="169"/>
      <c r="T347" s="169"/>
      <c r="U347" s="169"/>
      <c r="V347" s="169"/>
      <c r="W347" s="169"/>
      <c r="X347" s="169"/>
      <c r="Y347" s="169"/>
      <c r="Z347" s="169"/>
      <c r="AA347" s="169"/>
      <c r="AB347" s="169"/>
      <c r="AC347" s="169"/>
      <c r="AD347" s="169"/>
      <c r="AE347" s="169"/>
      <c r="AF347" s="169"/>
      <c r="AG347" s="169"/>
      <c r="AH347" s="169"/>
      <c r="AI347" s="169"/>
      <c r="AJ347" s="169"/>
      <c r="AK347" s="169"/>
      <c r="AL347" s="169"/>
      <c r="AM347" s="169"/>
      <c r="AN347" s="169"/>
      <c r="AO347" s="169"/>
      <c r="AP347" s="169"/>
    </row>
    <row r="348" spans="5:42" x14ac:dyDescent="0.2">
      <c r="E348" s="169"/>
      <c r="F348" s="169"/>
      <c r="G348" s="169"/>
      <c r="H348" s="169"/>
      <c r="I348" s="169"/>
      <c r="J348" s="169"/>
      <c r="K348" s="169"/>
      <c r="L348" s="169"/>
      <c r="M348" s="169"/>
      <c r="N348" s="169"/>
      <c r="O348" s="169"/>
      <c r="P348" s="169"/>
      <c r="Q348" s="169"/>
      <c r="R348" s="169"/>
      <c r="S348" s="169"/>
      <c r="T348" s="169"/>
      <c r="U348" s="169"/>
      <c r="V348" s="169"/>
      <c r="W348" s="169"/>
      <c r="X348" s="169"/>
      <c r="Y348" s="169"/>
      <c r="Z348" s="169"/>
      <c r="AA348" s="169"/>
      <c r="AB348" s="169"/>
      <c r="AC348" s="169"/>
      <c r="AD348" s="169"/>
      <c r="AE348" s="169"/>
      <c r="AF348" s="169"/>
      <c r="AG348" s="169"/>
      <c r="AH348" s="169"/>
      <c r="AI348" s="169"/>
      <c r="AJ348" s="169"/>
      <c r="AK348" s="169"/>
      <c r="AL348" s="169"/>
      <c r="AM348" s="169"/>
      <c r="AN348" s="169"/>
      <c r="AO348" s="169"/>
      <c r="AP348" s="169"/>
    </row>
    <row r="349" spans="5:42" x14ac:dyDescent="0.2">
      <c r="E349" s="169"/>
      <c r="F349" s="169"/>
      <c r="G349" s="169"/>
      <c r="H349" s="169"/>
      <c r="I349" s="169"/>
      <c r="J349" s="169"/>
      <c r="K349" s="169"/>
      <c r="L349" s="169"/>
      <c r="M349" s="169"/>
      <c r="N349" s="169"/>
      <c r="O349" s="169"/>
      <c r="P349" s="169"/>
      <c r="Q349" s="169"/>
      <c r="R349" s="169"/>
      <c r="S349" s="169"/>
      <c r="T349" s="169"/>
      <c r="U349" s="169"/>
      <c r="V349" s="169"/>
      <c r="W349" s="169"/>
      <c r="X349" s="169"/>
      <c r="Y349" s="169"/>
      <c r="Z349" s="169"/>
      <c r="AA349" s="169"/>
      <c r="AB349" s="169"/>
      <c r="AC349" s="169"/>
      <c r="AD349" s="169"/>
      <c r="AE349" s="169"/>
      <c r="AF349" s="169"/>
      <c r="AG349" s="169"/>
      <c r="AH349" s="169"/>
      <c r="AI349" s="169"/>
      <c r="AJ349" s="169"/>
      <c r="AK349" s="169"/>
      <c r="AL349" s="169"/>
      <c r="AM349" s="169"/>
      <c r="AN349" s="169"/>
      <c r="AO349" s="169"/>
      <c r="AP349" s="169"/>
    </row>
    <row r="350" spans="5:42" x14ac:dyDescent="0.2">
      <c r="E350" s="169"/>
      <c r="F350" s="169"/>
      <c r="G350" s="169"/>
      <c r="H350" s="169"/>
      <c r="I350" s="169"/>
      <c r="J350" s="169"/>
      <c r="K350" s="169"/>
      <c r="L350" s="169"/>
      <c r="M350" s="169"/>
      <c r="N350" s="169"/>
      <c r="O350" s="169"/>
      <c r="P350" s="169"/>
      <c r="Q350" s="169"/>
      <c r="R350" s="169"/>
      <c r="S350" s="169"/>
      <c r="T350" s="169"/>
      <c r="U350" s="169"/>
      <c r="V350" s="169"/>
      <c r="W350" s="169"/>
      <c r="X350" s="169"/>
      <c r="Y350" s="169"/>
      <c r="Z350" s="169"/>
      <c r="AA350" s="169"/>
      <c r="AB350" s="169"/>
      <c r="AC350" s="169"/>
      <c r="AD350" s="169"/>
      <c r="AE350" s="169"/>
      <c r="AF350" s="169"/>
      <c r="AG350" s="169"/>
      <c r="AH350" s="169"/>
      <c r="AI350" s="169"/>
      <c r="AJ350" s="169"/>
      <c r="AK350" s="169"/>
      <c r="AL350" s="169"/>
      <c r="AM350" s="169"/>
      <c r="AN350" s="169"/>
      <c r="AO350" s="169"/>
      <c r="AP350" s="169"/>
    </row>
    <row r="351" spans="5:42" x14ac:dyDescent="0.2">
      <c r="E351" s="169"/>
      <c r="F351" s="169"/>
      <c r="G351" s="169"/>
      <c r="H351" s="169"/>
      <c r="I351" s="169"/>
      <c r="J351" s="169"/>
      <c r="K351" s="169"/>
      <c r="L351" s="169"/>
      <c r="M351" s="169"/>
      <c r="N351" s="169"/>
      <c r="O351" s="169"/>
      <c r="P351" s="169"/>
      <c r="Q351" s="169"/>
      <c r="R351" s="169"/>
      <c r="S351" s="169"/>
      <c r="T351" s="169"/>
      <c r="U351" s="169"/>
      <c r="V351" s="169"/>
      <c r="W351" s="169"/>
      <c r="X351" s="169"/>
      <c r="Y351" s="169"/>
      <c r="Z351" s="169"/>
      <c r="AA351" s="169"/>
      <c r="AB351" s="169"/>
      <c r="AC351" s="169"/>
      <c r="AD351" s="169"/>
      <c r="AE351" s="169"/>
      <c r="AF351" s="169"/>
      <c r="AG351" s="169"/>
      <c r="AH351" s="169"/>
      <c r="AI351" s="169"/>
      <c r="AJ351" s="169"/>
      <c r="AK351" s="169"/>
      <c r="AL351" s="169"/>
      <c r="AM351" s="169"/>
      <c r="AN351" s="169"/>
      <c r="AO351" s="169"/>
      <c r="AP351" s="169"/>
    </row>
    <row r="352" spans="5:42" x14ac:dyDescent="0.2">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c r="AA352" s="169"/>
      <c r="AB352" s="169"/>
      <c r="AC352" s="169"/>
      <c r="AD352" s="169"/>
      <c r="AE352" s="169"/>
      <c r="AF352" s="169"/>
      <c r="AG352" s="169"/>
      <c r="AH352" s="169"/>
      <c r="AI352" s="169"/>
      <c r="AJ352" s="169"/>
      <c r="AK352" s="169"/>
      <c r="AL352" s="169"/>
      <c r="AM352" s="169"/>
      <c r="AN352" s="169"/>
      <c r="AO352" s="169"/>
      <c r="AP352" s="169"/>
    </row>
    <row r="353" spans="5:42" x14ac:dyDescent="0.2">
      <c r="E353" s="169"/>
      <c r="F353" s="169"/>
      <c r="G353" s="169"/>
      <c r="H353" s="169"/>
      <c r="I353" s="169"/>
      <c r="J353" s="169"/>
      <c r="K353" s="169"/>
      <c r="L353" s="169"/>
      <c r="M353" s="169"/>
      <c r="N353" s="169"/>
      <c r="O353" s="169"/>
      <c r="P353" s="169"/>
      <c r="Q353" s="169"/>
      <c r="R353" s="169"/>
      <c r="S353" s="169"/>
      <c r="T353" s="169"/>
      <c r="U353" s="169"/>
      <c r="V353" s="169"/>
      <c r="W353" s="169"/>
      <c r="X353" s="169"/>
      <c r="Y353" s="169"/>
      <c r="Z353" s="169"/>
      <c r="AA353" s="169"/>
      <c r="AB353" s="169"/>
      <c r="AC353" s="169"/>
      <c r="AD353" s="169"/>
      <c r="AE353" s="169"/>
      <c r="AF353" s="169"/>
      <c r="AG353" s="169"/>
      <c r="AH353" s="169"/>
      <c r="AI353" s="169"/>
      <c r="AJ353" s="169"/>
      <c r="AK353" s="169"/>
      <c r="AL353" s="169"/>
      <c r="AM353" s="169"/>
      <c r="AN353" s="169"/>
      <c r="AO353" s="169"/>
      <c r="AP353" s="169"/>
    </row>
    <row r="354" spans="5:42" x14ac:dyDescent="0.2">
      <c r="E354" s="169"/>
      <c r="F354" s="169"/>
      <c r="G354" s="169"/>
      <c r="H354" s="169"/>
      <c r="I354" s="169"/>
      <c r="J354" s="169"/>
      <c r="K354" s="169"/>
      <c r="L354" s="169"/>
      <c r="M354" s="169"/>
      <c r="N354" s="169"/>
      <c r="O354" s="169"/>
      <c r="P354" s="169"/>
      <c r="Q354" s="169"/>
      <c r="R354" s="169"/>
      <c r="S354" s="169"/>
      <c r="T354" s="169"/>
      <c r="U354" s="169"/>
      <c r="V354" s="169"/>
      <c r="W354" s="169"/>
      <c r="X354" s="169"/>
      <c r="Y354" s="169"/>
      <c r="Z354" s="169"/>
      <c r="AA354" s="169"/>
      <c r="AB354" s="169"/>
      <c r="AC354" s="169"/>
      <c r="AD354" s="169"/>
      <c r="AE354" s="169"/>
      <c r="AF354" s="169"/>
      <c r="AG354" s="169"/>
      <c r="AH354" s="169"/>
      <c r="AI354" s="169"/>
      <c r="AJ354" s="169"/>
      <c r="AK354" s="169"/>
      <c r="AL354" s="169"/>
      <c r="AM354" s="169"/>
      <c r="AN354" s="169"/>
      <c r="AO354" s="169"/>
      <c r="AP354" s="169"/>
    </row>
    <row r="355" spans="5:42" x14ac:dyDescent="0.2">
      <c r="E355" s="169"/>
      <c r="F355" s="169"/>
      <c r="G355" s="169"/>
      <c r="H355" s="169"/>
      <c r="I355" s="169"/>
      <c r="J355" s="169"/>
      <c r="K355" s="169"/>
      <c r="L355" s="169"/>
      <c r="M355" s="169"/>
      <c r="N355" s="169"/>
      <c r="O355" s="169"/>
      <c r="P355" s="169"/>
      <c r="Q355" s="169"/>
      <c r="R355" s="169"/>
      <c r="S355" s="169"/>
      <c r="T355" s="169"/>
      <c r="U355" s="169"/>
      <c r="V355" s="169"/>
      <c r="W355" s="169"/>
      <c r="X355" s="169"/>
      <c r="Y355" s="169"/>
      <c r="Z355" s="169"/>
      <c r="AA355" s="169"/>
      <c r="AB355" s="169"/>
      <c r="AC355" s="169"/>
      <c r="AD355" s="169"/>
      <c r="AE355" s="169"/>
      <c r="AF355" s="169"/>
      <c r="AG355" s="169"/>
      <c r="AH355" s="169"/>
      <c r="AI355" s="169"/>
      <c r="AJ355" s="169"/>
      <c r="AK355" s="169"/>
      <c r="AL355" s="169"/>
      <c r="AM355" s="169"/>
      <c r="AN355" s="169"/>
      <c r="AO355" s="169"/>
      <c r="AP355" s="169"/>
    </row>
    <row r="356" spans="5:42" x14ac:dyDescent="0.2">
      <c r="E356" s="169"/>
      <c r="F356" s="169"/>
      <c r="G356" s="169"/>
      <c r="H356" s="169"/>
      <c r="I356" s="169"/>
      <c r="J356" s="169"/>
      <c r="K356" s="169"/>
      <c r="L356" s="169"/>
      <c r="M356" s="169"/>
      <c r="N356" s="169"/>
      <c r="O356" s="169"/>
      <c r="P356" s="169"/>
      <c r="Q356" s="169"/>
      <c r="R356" s="169"/>
      <c r="S356" s="169"/>
      <c r="T356" s="169"/>
      <c r="U356" s="169"/>
      <c r="V356" s="169"/>
      <c r="W356" s="169"/>
      <c r="X356" s="169"/>
      <c r="Y356" s="169"/>
      <c r="Z356" s="169"/>
      <c r="AA356" s="169"/>
      <c r="AB356" s="169"/>
      <c r="AC356" s="169"/>
      <c r="AD356" s="169"/>
      <c r="AE356" s="169"/>
      <c r="AF356" s="169"/>
      <c r="AG356" s="169"/>
      <c r="AH356" s="169"/>
      <c r="AI356" s="169"/>
      <c r="AJ356" s="169"/>
      <c r="AK356" s="169"/>
      <c r="AL356" s="169"/>
      <c r="AM356" s="169"/>
      <c r="AN356" s="169"/>
      <c r="AO356" s="169"/>
      <c r="AP356" s="169"/>
    </row>
    <row r="357" spans="5:42" x14ac:dyDescent="0.2">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69"/>
      <c r="AI357" s="169"/>
      <c r="AJ357" s="169"/>
      <c r="AK357" s="169"/>
      <c r="AL357" s="169"/>
      <c r="AM357" s="169"/>
      <c r="AN357" s="169"/>
      <c r="AO357" s="169"/>
      <c r="AP357" s="169"/>
    </row>
    <row r="358" spans="5:42" x14ac:dyDescent="0.2">
      <c r="E358" s="169"/>
      <c r="F358" s="169"/>
      <c r="G358" s="169"/>
      <c r="H358" s="169"/>
      <c r="I358" s="169"/>
      <c r="J358" s="169"/>
      <c r="K358" s="169"/>
      <c r="L358" s="169"/>
      <c r="M358" s="169"/>
      <c r="N358" s="169"/>
      <c r="O358" s="169"/>
      <c r="P358" s="169"/>
      <c r="Q358" s="169"/>
      <c r="R358" s="169"/>
      <c r="S358" s="169"/>
      <c r="T358" s="169"/>
      <c r="U358" s="169"/>
      <c r="V358" s="169"/>
      <c r="W358" s="169"/>
      <c r="X358" s="169"/>
      <c r="Y358" s="169"/>
      <c r="Z358" s="169"/>
      <c r="AA358" s="169"/>
      <c r="AB358" s="169"/>
      <c r="AC358" s="169"/>
      <c r="AD358" s="169"/>
      <c r="AE358" s="169"/>
      <c r="AF358" s="169"/>
      <c r="AG358" s="169"/>
      <c r="AH358" s="169"/>
      <c r="AI358" s="169"/>
      <c r="AJ358" s="169"/>
      <c r="AK358" s="169"/>
      <c r="AL358" s="169"/>
      <c r="AM358" s="169"/>
      <c r="AN358" s="169"/>
      <c r="AO358" s="169"/>
      <c r="AP358" s="169"/>
    </row>
    <row r="359" spans="5:42" x14ac:dyDescent="0.2">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c r="AA359" s="169"/>
      <c r="AB359" s="169"/>
      <c r="AC359" s="169"/>
      <c r="AD359" s="169"/>
      <c r="AE359" s="169"/>
      <c r="AF359" s="169"/>
      <c r="AG359" s="169"/>
      <c r="AH359" s="169"/>
      <c r="AI359" s="169"/>
      <c r="AJ359" s="169"/>
      <c r="AK359" s="169"/>
      <c r="AL359" s="169"/>
      <c r="AM359" s="169"/>
      <c r="AN359" s="169"/>
      <c r="AO359" s="169"/>
      <c r="AP359" s="169"/>
    </row>
    <row r="360" spans="5:42" x14ac:dyDescent="0.2">
      <c r="E360" s="169"/>
      <c r="F360" s="169"/>
      <c r="G360" s="169"/>
      <c r="H360" s="169"/>
      <c r="I360" s="169"/>
      <c r="J360" s="169"/>
      <c r="K360" s="169"/>
      <c r="L360" s="169"/>
      <c r="M360" s="169"/>
      <c r="N360" s="169"/>
      <c r="O360" s="169"/>
      <c r="P360" s="169"/>
      <c r="Q360" s="169"/>
      <c r="R360" s="169"/>
      <c r="S360" s="169"/>
      <c r="T360" s="169"/>
      <c r="U360" s="169"/>
      <c r="V360" s="169"/>
      <c r="W360" s="169"/>
      <c r="X360" s="169"/>
      <c r="Y360" s="169"/>
      <c r="Z360" s="169"/>
      <c r="AA360" s="169"/>
      <c r="AB360" s="169"/>
      <c r="AC360" s="169"/>
      <c r="AD360" s="169"/>
      <c r="AE360" s="169"/>
      <c r="AF360" s="169"/>
      <c r="AG360" s="169"/>
      <c r="AH360" s="169"/>
      <c r="AI360" s="169"/>
      <c r="AJ360" s="169"/>
      <c r="AK360" s="169"/>
      <c r="AL360" s="169"/>
      <c r="AM360" s="169"/>
      <c r="AN360" s="169"/>
      <c r="AO360" s="169"/>
      <c r="AP360" s="169"/>
    </row>
    <row r="361" spans="5:42" x14ac:dyDescent="0.2">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c r="AA361" s="169"/>
      <c r="AB361" s="169"/>
      <c r="AC361" s="169"/>
      <c r="AD361" s="169"/>
      <c r="AE361" s="169"/>
      <c r="AF361" s="169"/>
      <c r="AG361" s="169"/>
      <c r="AH361" s="169"/>
      <c r="AI361" s="169"/>
      <c r="AJ361" s="169"/>
      <c r="AK361" s="169"/>
      <c r="AL361" s="169"/>
      <c r="AM361" s="169"/>
      <c r="AN361" s="169"/>
      <c r="AO361" s="169"/>
      <c r="AP361" s="169"/>
    </row>
    <row r="362" spans="5:42" x14ac:dyDescent="0.2">
      <c r="E362" s="169"/>
      <c r="F362" s="169"/>
      <c r="G362" s="169"/>
      <c r="H362" s="169"/>
      <c r="I362" s="169"/>
      <c r="J362" s="169"/>
      <c r="K362" s="169"/>
      <c r="L362" s="169"/>
      <c r="M362" s="169"/>
      <c r="N362" s="169"/>
      <c r="O362" s="169"/>
      <c r="P362" s="169"/>
      <c r="Q362" s="169"/>
      <c r="R362" s="169"/>
      <c r="S362" s="169"/>
      <c r="T362" s="169"/>
      <c r="U362" s="169"/>
      <c r="V362" s="169"/>
      <c r="W362" s="169"/>
      <c r="X362" s="169"/>
      <c r="Y362" s="169"/>
      <c r="Z362" s="169"/>
      <c r="AA362" s="169"/>
      <c r="AB362" s="169"/>
      <c r="AC362" s="169"/>
      <c r="AD362" s="169"/>
      <c r="AE362" s="169"/>
      <c r="AF362" s="169"/>
      <c r="AG362" s="169"/>
      <c r="AH362" s="169"/>
      <c r="AI362" s="169"/>
      <c r="AJ362" s="169"/>
      <c r="AK362" s="169"/>
      <c r="AL362" s="169"/>
      <c r="AM362" s="169"/>
      <c r="AN362" s="169"/>
      <c r="AO362" s="169"/>
      <c r="AP362" s="169"/>
    </row>
    <row r="363" spans="5:42" x14ac:dyDescent="0.2">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c r="AA363" s="169"/>
      <c r="AB363" s="169"/>
      <c r="AC363" s="169"/>
      <c r="AD363" s="169"/>
      <c r="AE363" s="169"/>
      <c r="AF363" s="169"/>
      <c r="AG363" s="169"/>
      <c r="AH363" s="169"/>
      <c r="AI363" s="169"/>
      <c r="AJ363" s="169"/>
      <c r="AK363" s="169"/>
      <c r="AL363" s="169"/>
      <c r="AM363" s="169"/>
      <c r="AN363" s="169"/>
      <c r="AO363" s="169"/>
      <c r="AP363" s="169"/>
    </row>
    <row r="364" spans="5:42" x14ac:dyDescent="0.2">
      <c r="E364" s="169"/>
      <c r="F364" s="169"/>
      <c r="G364" s="169"/>
      <c r="H364" s="169"/>
      <c r="I364" s="169"/>
      <c r="J364" s="169"/>
      <c r="K364" s="169"/>
      <c r="L364" s="169"/>
      <c r="M364" s="169"/>
      <c r="N364" s="169"/>
      <c r="O364" s="169"/>
      <c r="P364" s="169"/>
      <c r="Q364" s="169"/>
      <c r="R364" s="169"/>
      <c r="S364" s="169"/>
      <c r="T364" s="169"/>
      <c r="U364" s="169"/>
      <c r="V364" s="169"/>
      <c r="W364" s="169"/>
      <c r="X364" s="169"/>
      <c r="Y364" s="169"/>
      <c r="Z364" s="169"/>
      <c r="AA364" s="169"/>
      <c r="AB364" s="169"/>
      <c r="AC364" s="169"/>
      <c r="AD364" s="169"/>
      <c r="AE364" s="169"/>
      <c r="AF364" s="169"/>
      <c r="AG364" s="169"/>
      <c r="AH364" s="169"/>
      <c r="AI364" s="169"/>
      <c r="AJ364" s="169"/>
      <c r="AK364" s="169"/>
      <c r="AL364" s="169"/>
      <c r="AM364" s="169"/>
      <c r="AN364" s="169"/>
      <c r="AO364" s="169"/>
      <c r="AP364" s="169"/>
    </row>
    <row r="365" spans="5:42" x14ac:dyDescent="0.2">
      <c r="E365" s="169"/>
      <c r="F365" s="169"/>
      <c r="G365" s="169"/>
      <c r="H365" s="169"/>
      <c r="I365" s="169"/>
      <c r="J365" s="169"/>
      <c r="K365" s="169"/>
      <c r="L365" s="169"/>
      <c r="M365" s="169"/>
      <c r="N365" s="169"/>
      <c r="O365" s="169"/>
      <c r="P365" s="169"/>
      <c r="Q365" s="169"/>
      <c r="R365" s="169"/>
      <c r="S365" s="169"/>
      <c r="T365" s="169"/>
      <c r="U365" s="169"/>
      <c r="V365" s="169"/>
      <c r="W365" s="169"/>
      <c r="X365" s="169"/>
      <c r="Y365" s="169"/>
      <c r="Z365" s="169"/>
      <c r="AA365" s="169"/>
      <c r="AB365" s="169"/>
      <c r="AC365" s="169"/>
      <c r="AD365" s="169"/>
      <c r="AE365" s="169"/>
      <c r="AF365" s="169"/>
      <c r="AG365" s="169"/>
      <c r="AH365" s="169"/>
      <c r="AI365" s="169"/>
      <c r="AJ365" s="169"/>
      <c r="AK365" s="169"/>
      <c r="AL365" s="169"/>
      <c r="AM365" s="169"/>
      <c r="AN365" s="169"/>
      <c r="AO365" s="169"/>
      <c r="AP365" s="169"/>
    </row>
    <row r="366" spans="5:42" x14ac:dyDescent="0.2">
      <c r="E366" s="169"/>
      <c r="F366" s="169"/>
      <c r="G366" s="169"/>
      <c r="H366" s="169"/>
      <c r="I366" s="169"/>
      <c r="J366" s="169"/>
      <c r="K366" s="169"/>
      <c r="L366" s="169"/>
      <c r="M366" s="169"/>
      <c r="N366" s="169"/>
      <c r="O366" s="169"/>
      <c r="P366" s="169"/>
      <c r="Q366" s="169"/>
      <c r="R366" s="169"/>
      <c r="S366" s="169"/>
      <c r="T366" s="169"/>
      <c r="U366" s="169"/>
      <c r="V366" s="169"/>
      <c r="W366" s="169"/>
      <c r="X366" s="169"/>
      <c r="Y366" s="169"/>
      <c r="Z366" s="169"/>
      <c r="AA366" s="169"/>
      <c r="AB366" s="169"/>
      <c r="AC366" s="169"/>
      <c r="AD366" s="169"/>
      <c r="AE366" s="169"/>
      <c r="AF366" s="169"/>
      <c r="AG366" s="169"/>
      <c r="AH366" s="169"/>
      <c r="AI366" s="169"/>
      <c r="AJ366" s="169"/>
      <c r="AK366" s="169"/>
      <c r="AL366" s="169"/>
      <c r="AM366" s="169"/>
      <c r="AN366" s="169"/>
      <c r="AO366" s="169"/>
      <c r="AP366" s="169"/>
    </row>
    <row r="367" spans="5:42" x14ac:dyDescent="0.2">
      <c r="E367" s="169"/>
      <c r="F367" s="169"/>
      <c r="G367" s="169"/>
      <c r="H367" s="169"/>
      <c r="I367" s="169"/>
      <c r="J367" s="169"/>
      <c r="K367" s="169"/>
      <c r="L367" s="169"/>
      <c r="M367" s="169"/>
      <c r="N367" s="169"/>
      <c r="O367" s="169"/>
      <c r="P367" s="169"/>
      <c r="Q367" s="169"/>
      <c r="R367" s="169"/>
      <c r="S367" s="169"/>
      <c r="T367" s="169"/>
      <c r="U367" s="169"/>
      <c r="V367" s="169"/>
      <c r="W367" s="169"/>
      <c r="X367" s="169"/>
      <c r="Y367" s="169"/>
      <c r="Z367" s="169"/>
      <c r="AA367" s="169"/>
      <c r="AB367" s="169"/>
      <c r="AC367" s="169"/>
      <c r="AD367" s="169"/>
      <c r="AE367" s="169"/>
      <c r="AF367" s="169"/>
      <c r="AG367" s="169"/>
      <c r="AH367" s="169"/>
      <c r="AI367" s="169"/>
      <c r="AJ367" s="169"/>
      <c r="AK367" s="169"/>
      <c r="AL367" s="169"/>
      <c r="AM367" s="169"/>
      <c r="AN367" s="169"/>
      <c r="AO367" s="169"/>
      <c r="AP367" s="169"/>
    </row>
    <row r="368" spans="5:42" x14ac:dyDescent="0.2">
      <c r="E368" s="169"/>
      <c r="F368" s="169"/>
      <c r="G368" s="169"/>
      <c r="H368" s="169"/>
      <c r="I368" s="169"/>
      <c r="J368" s="169"/>
      <c r="K368" s="169"/>
      <c r="L368" s="169"/>
      <c r="M368" s="169"/>
      <c r="N368" s="169"/>
      <c r="O368" s="169"/>
      <c r="P368" s="169"/>
      <c r="Q368" s="169"/>
      <c r="R368" s="169"/>
      <c r="S368" s="169"/>
      <c r="T368" s="169"/>
      <c r="U368" s="169"/>
      <c r="V368" s="169"/>
      <c r="W368" s="169"/>
      <c r="X368" s="169"/>
      <c r="Y368" s="169"/>
      <c r="Z368" s="169"/>
      <c r="AA368" s="169"/>
      <c r="AB368" s="169"/>
      <c r="AC368" s="169"/>
      <c r="AD368" s="169"/>
      <c r="AE368" s="169"/>
      <c r="AF368" s="169"/>
      <c r="AG368" s="169"/>
      <c r="AH368" s="169"/>
      <c r="AI368" s="169"/>
      <c r="AJ368" s="169"/>
      <c r="AK368" s="169"/>
      <c r="AL368" s="169"/>
      <c r="AM368" s="169"/>
      <c r="AN368" s="169"/>
      <c r="AO368" s="169"/>
      <c r="AP368" s="169"/>
    </row>
    <row r="369" spans="5:42" x14ac:dyDescent="0.2">
      <c r="E369" s="169"/>
      <c r="F369" s="169"/>
      <c r="G369" s="169"/>
      <c r="H369" s="169"/>
      <c r="I369" s="169"/>
      <c r="J369" s="169"/>
      <c r="K369" s="169"/>
      <c r="L369" s="169"/>
      <c r="M369" s="169"/>
      <c r="N369" s="169"/>
      <c r="O369" s="169"/>
      <c r="P369" s="169"/>
      <c r="Q369" s="169"/>
      <c r="R369" s="169"/>
      <c r="S369" s="169"/>
      <c r="T369" s="169"/>
      <c r="U369" s="169"/>
      <c r="V369" s="169"/>
      <c r="W369" s="169"/>
      <c r="X369" s="169"/>
      <c r="Y369" s="169"/>
      <c r="Z369" s="169"/>
      <c r="AA369" s="169"/>
      <c r="AB369" s="169"/>
      <c r="AC369" s="169"/>
      <c r="AD369" s="169"/>
      <c r="AE369" s="169"/>
      <c r="AF369" s="169"/>
      <c r="AG369" s="169"/>
      <c r="AH369" s="169"/>
      <c r="AI369" s="169"/>
      <c r="AJ369" s="169"/>
      <c r="AK369" s="169"/>
      <c r="AL369" s="169"/>
      <c r="AM369" s="169"/>
      <c r="AN369" s="169"/>
      <c r="AO369" s="169"/>
      <c r="AP369" s="169"/>
    </row>
    <row r="370" spans="5:42" x14ac:dyDescent="0.2">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c r="AA370" s="169"/>
      <c r="AB370" s="169"/>
      <c r="AC370" s="169"/>
      <c r="AD370" s="169"/>
      <c r="AE370" s="169"/>
      <c r="AF370" s="169"/>
      <c r="AG370" s="169"/>
      <c r="AH370" s="169"/>
      <c r="AI370" s="169"/>
      <c r="AJ370" s="169"/>
      <c r="AK370" s="169"/>
      <c r="AL370" s="169"/>
      <c r="AM370" s="169"/>
      <c r="AN370" s="169"/>
      <c r="AO370" s="169"/>
      <c r="AP370" s="169"/>
    </row>
    <row r="371" spans="5:42" x14ac:dyDescent="0.2">
      <c r="E371" s="169"/>
      <c r="F371" s="169"/>
      <c r="G371" s="169"/>
      <c r="H371" s="169"/>
      <c r="I371" s="169"/>
      <c r="J371" s="169"/>
      <c r="K371" s="169"/>
      <c r="L371" s="169"/>
      <c r="M371" s="169"/>
      <c r="N371" s="169"/>
      <c r="O371" s="169"/>
      <c r="P371" s="169"/>
      <c r="Q371" s="169"/>
      <c r="R371" s="169"/>
      <c r="S371" s="169"/>
      <c r="T371" s="169"/>
      <c r="U371" s="169"/>
      <c r="V371" s="169"/>
      <c r="W371" s="169"/>
      <c r="X371" s="169"/>
      <c r="Y371" s="169"/>
      <c r="Z371" s="169"/>
      <c r="AA371" s="169"/>
      <c r="AB371" s="169"/>
      <c r="AC371" s="169"/>
      <c r="AD371" s="169"/>
      <c r="AE371" s="169"/>
      <c r="AF371" s="169"/>
      <c r="AG371" s="169"/>
      <c r="AH371" s="169"/>
      <c r="AI371" s="169"/>
      <c r="AJ371" s="169"/>
      <c r="AK371" s="169"/>
      <c r="AL371" s="169"/>
      <c r="AM371" s="169"/>
      <c r="AN371" s="169"/>
      <c r="AO371" s="169"/>
      <c r="AP371" s="169"/>
    </row>
    <row r="372" spans="5:42" x14ac:dyDescent="0.2">
      <c r="E372" s="169"/>
      <c r="F372" s="169"/>
      <c r="G372" s="169"/>
      <c r="H372" s="169"/>
      <c r="I372" s="169"/>
      <c r="J372" s="169"/>
      <c r="K372" s="169"/>
      <c r="L372" s="169"/>
      <c r="M372" s="169"/>
      <c r="N372" s="169"/>
      <c r="O372" s="169"/>
      <c r="P372" s="169"/>
      <c r="Q372" s="169"/>
      <c r="R372" s="169"/>
      <c r="S372" s="169"/>
      <c r="T372" s="169"/>
      <c r="U372" s="169"/>
      <c r="V372" s="169"/>
      <c r="W372" s="169"/>
      <c r="X372" s="169"/>
      <c r="Y372" s="169"/>
      <c r="Z372" s="169"/>
      <c r="AA372" s="169"/>
      <c r="AB372" s="169"/>
      <c r="AC372" s="169"/>
      <c r="AD372" s="169"/>
      <c r="AE372" s="169"/>
      <c r="AF372" s="169"/>
      <c r="AG372" s="169"/>
      <c r="AH372" s="169"/>
      <c r="AI372" s="169"/>
      <c r="AJ372" s="169"/>
      <c r="AK372" s="169"/>
      <c r="AL372" s="169"/>
      <c r="AM372" s="169"/>
      <c r="AN372" s="169"/>
      <c r="AO372" s="169"/>
      <c r="AP372" s="169"/>
    </row>
    <row r="373" spans="5:42" x14ac:dyDescent="0.2">
      <c r="E373" s="169"/>
      <c r="F373" s="169"/>
      <c r="G373" s="169"/>
      <c r="H373" s="169"/>
      <c r="I373" s="169"/>
      <c r="J373" s="169"/>
      <c r="K373" s="169"/>
      <c r="L373" s="169"/>
      <c r="M373" s="169"/>
      <c r="N373" s="169"/>
      <c r="O373" s="169"/>
      <c r="P373" s="169"/>
      <c r="Q373" s="169"/>
      <c r="R373" s="169"/>
      <c r="S373" s="169"/>
      <c r="T373" s="169"/>
      <c r="U373" s="169"/>
      <c r="V373" s="169"/>
      <c r="W373" s="169"/>
      <c r="X373" s="169"/>
      <c r="Y373" s="169"/>
      <c r="Z373" s="169"/>
      <c r="AA373" s="169"/>
      <c r="AB373" s="169"/>
      <c r="AC373" s="169"/>
      <c r="AD373" s="169"/>
      <c r="AE373" s="169"/>
      <c r="AF373" s="169"/>
      <c r="AG373" s="169"/>
      <c r="AH373" s="169"/>
      <c r="AI373" s="169"/>
      <c r="AJ373" s="169"/>
      <c r="AK373" s="169"/>
      <c r="AL373" s="169"/>
      <c r="AM373" s="169"/>
      <c r="AN373" s="169"/>
      <c r="AO373" s="169"/>
      <c r="AP373" s="169"/>
    </row>
    <row r="374" spans="5:42" x14ac:dyDescent="0.2">
      <c r="E374" s="169"/>
      <c r="F374" s="169"/>
      <c r="G374" s="169"/>
      <c r="H374" s="169"/>
      <c r="I374" s="169"/>
      <c r="J374" s="169"/>
      <c r="K374" s="169"/>
      <c r="L374" s="169"/>
      <c r="M374" s="169"/>
      <c r="N374" s="169"/>
      <c r="O374" s="169"/>
      <c r="P374" s="169"/>
      <c r="Q374" s="169"/>
      <c r="R374" s="169"/>
      <c r="S374" s="169"/>
      <c r="T374" s="169"/>
      <c r="U374" s="169"/>
      <c r="V374" s="169"/>
      <c r="W374" s="169"/>
      <c r="X374" s="169"/>
      <c r="Y374" s="169"/>
      <c r="Z374" s="169"/>
      <c r="AA374" s="169"/>
      <c r="AB374" s="169"/>
      <c r="AC374" s="169"/>
      <c r="AD374" s="169"/>
      <c r="AE374" s="169"/>
      <c r="AF374" s="169"/>
      <c r="AG374" s="169"/>
      <c r="AH374" s="169"/>
      <c r="AI374" s="169"/>
      <c r="AJ374" s="169"/>
      <c r="AK374" s="169"/>
      <c r="AL374" s="169"/>
      <c r="AM374" s="169"/>
      <c r="AN374" s="169"/>
      <c r="AO374" s="169"/>
      <c r="AP374" s="169"/>
    </row>
    <row r="375" spans="5:42" x14ac:dyDescent="0.2">
      <c r="E375" s="169"/>
      <c r="F375" s="169"/>
      <c r="G375" s="169"/>
      <c r="H375" s="169"/>
      <c r="I375" s="169"/>
      <c r="J375" s="169"/>
      <c r="K375" s="169"/>
      <c r="L375" s="169"/>
      <c r="M375" s="169"/>
      <c r="N375" s="169"/>
      <c r="O375" s="169"/>
      <c r="P375" s="169"/>
      <c r="Q375" s="169"/>
      <c r="R375" s="169"/>
      <c r="S375" s="169"/>
      <c r="T375" s="169"/>
      <c r="U375" s="169"/>
      <c r="V375" s="169"/>
      <c r="W375" s="169"/>
      <c r="X375" s="169"/>
      <c r="Y375" s="169"/>
      <c r="Z375" s="169"/>
      <c r="AA375" s="169"/>
      <c r="AB375" s="169"/>
      <c r="AC375" s="169"/>
      <c r="AD375" s="169"/>
      <c r="AE375" s="169"/>
      <c r="AF375" s="169"/>
      <c r="AG375" s="169"/>
      <c r="AH375" s="169"/>
      <c r="AI375" s="169"/>
      <c r="AJ375" s="169"/>
      <c r="AK375" s="169"/>
      <c r="AL375" s="169"/>
      <c r="AM375" s="169"/>
      <c r="AN375" s="169"/>
      <c r="AO375" s="169"/>
      <c r="AP375" s="169"/>
    </row>
    <row r="376" spans="5:42" x14ac:dyDescent="0.2">
      <c r="E376" s="169"/>
      <c r="F376" s="169"/>
      <c r="G376" s="169"/>
      <c r="H376" s="169"/>
      <c r="I376" s="169"/>
      <c r="J376" s="169"/>
      <c r="K376" s="169"/>
      <c r="L376" s="169"/>
      <c r="M376" s="169"/>
      <c r="N376" s="169"/>
      <c r="O376" s="169"/>
      <c r="P376" s="169"/>
      <c r="Q376" s="169"/>
      <c r="R376" s="169"/>
      <c r="S376" s="169"/>
      <c r="T376" s="169"/>
      <c r="U376" s="169"/>
      <c r="V376" s="169"/>
      <c r="W376" s="169"/>
      <c r="X376" s="169"/>
      <c r="Y376" s="169"/>
      <c r="Z376" s="169"/>
      <c r="AA376" s="169"/>
      <c r="AB376" s="169"/>
      <c r="AC376" s="169"/>
      <c r="AD376" s="169"/>
      <c r="AE376" s="169"/>
      <c r="AF376" s="169"/>
      <c r="AG376" s="169"/>
      <c r="AH376" s="169"/>
      <c r="AI376" s="169"/>
      <c r="AJ376" s="169"/>
      <c r="AK376" s="169"/>
      <c r="AL376" s="169"/>
      <c r="AM376" s="169"/>
      <c r="AN376" s="169"/>
      <c r="AO376" s="169"/>
      <c r="AP376" s="169"/>
    </row>
    <row r="377" spans="5:42" x14ac:dyDescent="0.2">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c r="AA377" s="169"/>
      <c r="AB377" s="169"/>
      <c r="AC377" s="169"/>
      <c r="AD377" s="169"/>
      <c r="AE377" s="169"/>
      <c r="AF377" s="169"/>
      <c r="AG377" s="169"/>
      <c r="AH377" s="169"/>
      <c r="AI377" s="169"/>
      <c r="AJ377" s="169"/>
      <c r="AK377" s="169"/>
      <c r="AL377" s="169"/>
      <c r="AM377" s="169"/>
      <c r="AN377" s="169"/>
      <c r="AO377" s="169"/>
      <c r="AP377" s="169"/>
    </row>
    <row r="378" spans="5:42" x14ac:dyDescent="0.2">
      <c r="E378" s="169"/>
      <c r="F378" s="169"/>
      <c r="G378" s="169"/>
      <c r="H378" s="169"/>
      <c r="I378" s="169"/>
      <c r="J378" s="169"/>
      <c r="K378" s="169"/>
      <c r="L378" s="169"/>
      <c r="M378" s="169"/>
      <c r="N378" s="169"/>
      <c r="O378" s="169"/>
      <c r="P378" s="169"/>
      <c r="Q378" s="169"/>
      <c r="R378" s="169"/>
      <c r="S378" s="169"/>
      <c r="T378" s="169"/>
      <c r="U378" s="169"/>
      <c r="V378" s="169"/>
      <c r="W378" s="169"/>
      <c r="X378" s="169"/>
      <c r="Y378" s="169"/>
      <c r="Z378" s="169"/>
      <c r="AA378" s="169"/>
      <c r="AB378" s="169"/>
      <c r="AC378" s="169"/>
      <c r="AD378" s="169"/>
      <c r="AE378" s="169"/>
      <c r="AF378" s="169"/>
      <c r="AG378" s="169"/>
      <c r="AH378" s="169"/>
      <c r="AI378" s="169"/>
      <c r="AJ378" s="169"/>
      <c r="AK378" s="169"/>
      <c r="AL378" s="169"/>
      <c r="AM378" s="169"/>
      <c r="AN378" s="169"/>
      <c r="AO378" s="169"/>
      <c r="AP378" s="169"/>
    </row>
    <row r="379" spans="5:42" x14ac:dyDescent="0.2">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c r="AA379" s="169"/>
      <c r="AB379" s="169"/>
      <c r="AC379" s="169"/>
      <c r="AD379" s="169"/>
      <c r="AE379" s="169"/>
      <c r="AF379" s="169"/>
      <c r="AG379" s="169"/>
      <c r="AH379" s="169"/>
      <c r="AI379" s="169"/>
      <c r="AJ379" s="169"/>
      <c r="AK379" s="169"/>
      <c r="AL379" s="169"/>
      <c r="AM379" s="169"/>
      <c r="AN379" s="169"/>
      <c r="AO379" s="169"/>
      <c r="AP379" s="169"/>
    </row>
    <row r="380" spans="5:42" x14ac:dyDescent="0.2">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169"/>
      <c r="AG380" s="169"/>
      <c r="AH380" s="169"/>
      <c r="AI380" s="169"/>
      <c r="AJ380" s="169"/>
      <c r="AK380" s="169"/>
      <c r="AL380" s="169"/>
      <c r="AM380" s="169"/>
      <c r="AN380" s="169"/>
      <c r="AO380" s="169"/>
      <c r="AP380" s="169"/>
    </row>
    <row r="381" spans="5:42" x14ac:dyDescent="0.2">
      <c r="E381" s="169"/>
      <c r="F381" s="169"/>
      <c r="G381" s="169"/>
      <c r="H381" s="169"/>
      <c r="I381" s="169"/>
      <c r="J381" s="169"/>
      <c r="K381" s="169"/>
      <c r="L381" s="169"/>
      <c r="M381" s="169"/>
      <c r="N381" s="169"/>
      <c r="O381" s="169"/>
      <c r="P381" s="169"/>
      <c r="Q381" s="169"/>
      <c r="R381" s="169"/>
      <c r="S381" s="169"/>
      <c r="T381" s="169"/>
      <c r="U381" s="169"/>
      <c r="V381" s="169"/>
      <c r="W381" s="169"/>
      <c r="X381" s="169"/>
      <c r="Y381" s="169"/>
      <c r="Z381" s="169"/>
      <c r="AA381" s="169"/>
      <c r="AB381" s="169"/>
      <c r="AC381" s="169"/>
      <c r="AD381" s="169"/>
      <c r="AE381" s="169"/>
      <c r="AF381" s="169"/>
      <c r="AG381" s="169"/>
      <c r="AH381" s="169"/>
      <c r="AI381" s="169"/>
      <c r="AJ381" s="169"/>
      <c r="AK381" s="169"/>
      <c r="AL381" s="169"/>
      <c r="AM381" s="169"/>
      <c r="AN381" s="169"/>
      <c r="AO381" s="169"/>
      <c r="AP381" s="169"/>
    </row>
    <row r="382" spans="5:42" x14ac:dyDescent="0.2">
      <c r="E382" s="169"/>
      <c r="F382" s="169"/>
      <c r="G382" s="169"/>
      <c r="H382" s="169"/>
      <c r="I382" s="169"/>
      <c r="J382" s="169"/>
      <c r="K382" s="169"/>
      <c r="L382" s="169"/>
      <c r="M382" s="169"/>
      <c r="N382" s="169"/>
      <c r="O382" s="169"/>
      <c r="P382" s="169"/>
      <c r="Q382" s="169"/>
      <c r="R382" s="169"/>
      <c r="S382" s="169"/>
      <c r="T382" s="169"/>
      <c r="U382" s="169"/>
      <c r="V382" s="169"/>
      <c r="W382" s="169"/>
      <c r="X382" s="169"/>
      <c r="Y382" s="169"/>
      <c r="Z382" s="169"/>
      <c r="AA382" s="169"/>
      <c r="AB382" s="169"/>
      <c r="AC382" s="169"/>
      <c r="AD382" s="169"/>
      <c r="AE382" s="169"/>
      <c r="AF382" s="169"/>
      <c r="AG382" s="169"/>
      <c r="AH382" s="169"/>
      <c r="AI382" s="169"/>
      <c r="AJ382" s="169"/>
      <c r="AK382" s="169"/>
      <c r="AL382" s="169"/>
      <c r="AM382" s="169"/>
      <c r="AN382" s="169"/>
      <c r="AO382" s="169"/>
      <c r="AP382" s="169"/>
    </row>
    <row r="383" spans="5:42" x14ac:dyDescent="0.2">
      <c r="E383" s="169"/>
      <c r="F383" s="169"/>
      <c r="G383" s="169"/>
      <c r="H383" s="169"/>
      <c r="I383" s="169"/>
      <c r="J383" s="169"/>
      <c r="K383" s="169"/>
      <c r="L383" s="169"/>
      <c r="M383" s="169"/>
      <c r="N383" s="169"/>
      <c r="O383" s="169"/>
      <c r="P383" s="169"/>
      <c r="Q383" s="169"/>
      <c r="R383" s="169"/>
      <c r="S383" s="169"/>
      <c r="T383" s="169"/>
      <c r="U383" s="169"/>
      <c r="V383" s="169"/>
      <c r="W383" s="169"/>
      <c r="X383" s="169"/>
      <c r="Y383" s="169"/>
      <c r="Z383" s="169"/>
      <c r="AA383" s="169"/>
      <c r="AB383" s="169"/>
      <c r="AC383" s="169"/>
      <c r="AD383" s="169"/>
      <c r="AE383" s="169"/>
      <c r="AF383" s="169"/>
      <c r="AG383" s="169"/>
      <c r="AH383" s="169"/>
      <c r="AI383" s="169"/>
      <c r="AJ383" s="169"/>
      <c r="AK383" s="169"/>
      <c r="AL383" s="169"/>
      <c r="AM383" s="169"/>
      <c r="AN383" s="169"/>
      <c r="AO383" s="169"/>
      <c r="AP383" s="169"/>
    </row>
    <row r="384" spans="5:42" x14ac:dyDescent="0.2">
      <c r="E384" s="169"/>
      <c r="F384" s="169"/>
      <c r="G384" s="169"/>
      <c r="H384" s="169"/>
      <c r="I384" s="169"/>
      <c r="J384" s="169"/>
      <c r="K384" s="169"/>
      <c r="L384" s="169"/>
      <c r="M384" s="169"/>
      <c r="N384" s="169"/>
      <c r="O384" s="169"/>
      <c r="P384" s="169"/>
      <c r="Q384" s="169"/>
      <c r="R384" s="169"/>
      <c r="S384" s="169"/>
      <c r="T384" s="169"/>
      <c r="U384" s="169"/>
      <c r="V384" s="169"/>
      <c r="W384" s="169"/>
      <c r="X384" s="169"/>
      <c r="Y384" s="169"/>
      <c r="Z384" s="169"/>
      <c r="AA384" s="169"/>
      <c r="AB384" s="169"/>
      <c r="AC384" s="169"/>
      <c r="AD384" s="169"/>
      <c r="AE384" s="169"/>
      <c r="AF384" s="169"/>
      <c r="AG384" s="169"/>
      <c r="AH384" s="169"/>
      <c r="AI384" s="169"/>
      <c r="AJ384" s="169"/>
      <c r="AK384" s="169"/>
      <c r="AL384" s="169"/>
      <c r="AM384" s="169"/>
      <c r="AN384" s="169"/>
      <c r="AO384" s="169"/>
      <c r="AP384" s="169"/>
    </row>
    <row r="385" spans="5:42" x14ac:dyDescent="0.2">
      <c r="E385" s="169"/>
      <c r="F385" s="169"/>
      <c r="G385" s="169"/>
      <c r="H385" s="169"/>
      <c r="I385" s="169"/>
      <c r="J385" s="169"/>
      <c r="K385" s="169"/>
      <c r="L385" s="169"/>
      <c r="M385" s="169"/>
      <c r="N385" s="169"/>
      <c r="O385" s="169"/>
      <c r="P385" s="169"/>
      <c r="Q385" s="169"/>
      <c r="R385" s="169"/>
      <c r="S385" s="169"/>
      <c r="T385" s="169"/>
      <c r="U385" s="169"/>
      <c r="V385" s="169"/>
      <c r="W385" s="169"/>
      <c r="X385" s="169"/>
      <c r="Y385" s="169"/>
      <c r="Z385" s="169"/>
      <c r="AA385" s="169"/>
      <c r="AB385" s="169"/>
      <c r="AC385" s="169"/>
      <c r="AD385" s="169"/>
      <c r="AE385" s="169"/>
      <c r="AF385" s="169"/>
      <c r="AG385" s="169"/>
      <c r="AH385" s="169"/>
      <c r="AI385" s="169"/>
      <c r="AJ385" s="169"/>
      <c r="AK385" s="169"/>
      <c r="AL385" s="169"/>
      <c r="AM385" s="169"/>
      <c r="AN385" s="169"/>
      <c r="AO385" s="169"/>
      <c r="AP385" s="169"/>
    </row>
    <row r="386" spans="5:42" x14ac:dyDescent="0.2">
      <c r="E386" s="169"/>
      <c r="F386" s="169"/>
      <c r="G386" s="169"/>
      <c r="H386" s="169"/>
      <c r="I386" s="169"/>
      <c r="J386" s="169"/>
      <c r="K386" s="169"/>
      <c r="L386" s="169"/>
      <c r="M386" s="169"/>
      <c r="N386" s="169"/>
      <c r="O386" s="169"/>
      <c r="P386" s="169"/>
      <c r="Q386" s="169"/>
      <c r="R386" s="169"/>
      <c r="S386" s="169"/>
      <c r="T386" s="169"/>
      <c r="U386" s="169"/>
      <c r="V386" s="169"/>
      <c r="W386" s="169"/>
      <c r="X386" s="169"/>
      <c r="Y386" s="169"/>
      <c r="Z386" s="169"/>
      <c r="AA386" s="169"/>
      <c r="AB386" s="169"/>
      <c r="AC386" s="169"/>
      <c r="AD386" s="169"/>
      <c r="AE386" s="169"/>
      <c r="AF386" s="169"/>
      <c r="AG386" s="169"/>
      <c r="AH386" s="169"/>
      <c r="AI386" s="169"/>
      <c r="AJ386" s="169"/>
      <c r="AK386" s="169"/>
      <c r="AL386" s="169"/>
      <c r="AM386" s="169"/>
      <c r="AN386" s="169"/>
      <c r="AO386" s="169"/>
      <c r="AP386" s="169"/>
    </row>
    <row r="387" spans="5:42" x14ac:dyDescent="0.2">
      <c r="E387" s="169"/>
      <c r="F387" s="169"/>
      <c r="G387" s="169"/>
      <c r="H387" s="169"/>
      <c r="I387" s="169"/>
      <c r="J387" s="169"/>
      <c r="K387" s="169"/>
      <c r="L387" s="169"/>
      <c r="M387" s="169"/>
      <c r="N387" s="169"/>
      <c r="O387" s="169"/>
      <c r="P387" s="169"/>
      <c r="Q387" s="169"/>
      <c r="R387" s="169"/>
      <c r="S387" s="169"/>
      <c r="T387" s="169"/>
      <c r="U387" s="169"/>
      <c r="V387" s="169"/>
      <c r="W387" s="169"/>
      <c r="X387" s="169"/>
      <c r="Y387" s="169"/>
      <c r="Z387" s="169"/>
      <c r="AA387" s="169"/>
      <c r="AB387" s="169"/>
      <c r="AC387" s="169"/>
      <c r="AD387" s="169"/>
      <c r="AE387" s="169"/>
      <c r="AF387" s="169"/>
      <c r="AG387" s="169"/>
      <c r="AH387" s="169"/>
      <c r="AI387" s="169"/>
      <c r="AJ387" s="169"/>
      <c r="AK387" s="169"/>
      <c r="AL387" s="169"/>
      <c r="AM387" s="169"/>
      <c r="AN387" s="169"/>
      <c r="AO387" s="169"/>
      <c r="AP387" s="169"/>
    </row>
    <row r="388" spans="5:42" x14ac:dyDescent="0.2">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c r="AA388" s="169"/>
      <c r="AB388" s="169"/>
      <c r="AC388" s="169"/>
      <c r="AD388" s="169"/>
      <c r="AE388" s="169"/>
      <c r="AF388" s="169"/>
      <c r="AG388" s="169"/>
      <c r="AH388" s="169"/>
      <c r="AI388" s="169"/>
      <c r="AJ388" s="169"/>
      <c r="AK388" s="169"/>
      <c r="AL388" s="169"/>
      <c r="AM388" s="169"/>
      <c r="AN388" s="169"/>
      <c r="AO388" s="169"/>
      <c r="AP388" s="169"/>
    </row>
    <row r="389" spans="5:42" x14ac:dyDescent="0.2">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c r="AA389" s="169"/>
      <c r="AB389" s="169"/>
      <c r="AC389" s="169"/>
      <c r="AD389" s="169"/>
      <c r="AE389" s="169"/>
      <c r="AF389" s="169"/>
      <c r="AG389" s="169"/>
      <c r="AH389" s="169"/>
      <c r="AI389" s="169"/>
      <c r="AJ389" s="169"/>
      <c r="AK389" s="169"/>
      <c r="AL389" s="169"/>
      <c r="AM389" s="169"/>
      <c r="AN389" s="169"/>
      <c r="AO389" s="169"/>
      <c r="AP389" s="169"/>
    </row>
    <row r="390" spans="5:42" x14ac:dyDescent="0.2">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c r="AA390" s="169"/>
      <c r="AB390" s="169"/>
      <c r="AC390" s="169"/>
      <c r="AD390" s="169"/>
      <c r="AE390" s="169"/>
      <c r="AF390" s="169"/>
      <c r="AG390" s="169"/>
      <c r="AH390" s="169"/>
      <c r="AI390" s="169"/>
      <c r="AJ390" s="169"/>
      <c r="AK390" s="169"/>
      <c r="AL390" s="169"/>
      <c r="AM390" s="169"/>
      <c r="AN390" s="169"/>
      <c r="AO390" s="169"/>
      <c r="AP390" s="169"/>
    </row>
    <row r="391" spans="5:42" x14ac:dyDescent="0.2">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c r="AA391" s="169"/>
      <c r="AB391" s="169"/>
      <c r="AC391" s="169"/>
      <c r="AD391" s="169"/>
      <c r="AE391" s="169"/>
      <c r="AF391" s="169"/>
      <c r="AG391" s="169"/>
      <c r="AH391" s="169"/>
      <c r="AI391" s="169"/>
      <c r="AJ391" s="169"/>
      <c r="AK391" s="169"/>
      <c r="AL391" s="169"/>
      <c r="AM391" s="169"/>
      <c r="AN391" s="169"/>
      <c r="AO391" s="169"/>
      <c r="AP391" s="169"/>
    </row>
    <row r="392" spans="5:42" x14ac:dyDescent="0.2">
      <c r="E392" s="169"/>
      <c r="F392" s="169"/>
      <c r="G392" s="169"/>
      <c r="H392" s="169"/>
      <c r="I392" s="169"/>
      <c r="J392" s="169"/>
      <c r="K392" s="169"/>
      <c r="L392" s="169"/>
      <c r="M392" s="169"/>
      <c r="N392" s="169"/>
      <c r="O392" s="169"/>
      <c r="P392" s="169"/>
      <c r="Q392" s="169"/>
      <c r="R392" s="169"/>
      <c r="S392" s="169"/>
      <c r="T392" s="169"/>
      <c r="U392" s="169"/>
      <c r="V392" s="169"/>
      <c r="W392" s="169"/>
      <c r="X392" s="169"/>
      <c r="Y392" s="169"/>
      <c r="Z392" s="169"/>
      <c r="AA392" s="169"/>
      <c r="AB392" s="169"/>
      <c r="AC392" s="169"/>
      <c r="AD392" s="169"/>
      <c r="AE392" s="169"/>
      <c r="AF392" s="169"/>
      <c r="AG392" s="169"/>
      <c r="AH392" s="169"/>
      <c r="AI392" s="169"/>
      <c r="AJ392" s="169"/>
      <c r="AK392" s="169"/>
      <c r="AL392" s="169"/>
      <c r="AM392" s="169"/>
      <c r="AN392" s="169"/>
      <c r="AO392" s="169"/>
      <c r="AP392" s="169"/>
    </row>
    <row r="393" spans="5:42" x14ac:dyDescent="0.2">
      <c r="E393" s="169"/>
      <c r="F393" s="169"/>
      <c r="G393" s="169"/>
      <c r="H393" s="169"/>
      <c r="I393" s="169"/>
      <c r="J393" s="169"/>
      <c r="K393" s="169"/>
      <c r="L393" s="169"/>
      <c r="M393" s="169"/>
      <c r="N393" s="169"/>
      <c r="O393" s="169"/>
      <c r="P393" s="169"/>
      <c r="Q393" s="169"/>
      <c r="R393" s="169"/>
      <c r="S393" s="169"/>
      <c r="T393" s="169"/>
      <c r="U393" s="169"/>
      <c r="V393" s="169"/>
      <c r="W393" s="169"/>
      <c r="X393" s="169"/>
      <c r="Y393" s="169"/>
      <c r="Z393" s="169"/>
      <c r="AA393" s="169"/>
      <c r="AB393" s="169"/>
      <c r="AC393" s="169"/>
      <c r="AD393" s="169"/>
      <c r="AE393" s="169"/>
      <c r="AF393" s="169"/>
      <c r="AG393" s="169"/>
      <c r="AH393" s="169"/>
      <c r="AI393" s="169"/>
      <c r="AJ393" s="169"/>
      <c r="AK393" s="169"/>
      <c r="AL393" s="169"/>
      <c r="AM393" s="169"/>
      <c r="AN393" s="169"/>
      <c r="AO393" s="169"/>
      <c r="AP393" s="169"/>
    </row>
    <row r="394" spans="5:42" x14ac:dyDescent="0.2">
      <c r="E394" s="169"/>
      <c r="F394" s="169"/>
      <c r="G394" s="169"/>
      <c r="H394" s="169"/>
      <c r="I394" s="169"/>
      <c r="J394" s="169"/>
      <c r="K394" s="169"/>
      <c r="L394" s="169"/>
      <c r="M394" s="169"/>
      <c r="N394" s="169"/>
      <c r="O394" s="169"/>
      <c r="P394" s="169"/>
      <c r="Q394" s="169"/>
      <c r="R394" s="169"/>
      <c r="S394" s="169"/>
      <c r="T394" s="169"/>
      <c r="U394" s="169"/>
      <c r="V394" s="169"/>
      <c r="W394" s="169"/>
      <c r="X394" s="169"/>
      <c r="Y394" s="169"/>
      <c r="Z394" s="169"/>
      <c r="AA394" s="169"/>
      <c r="AB394" s="169"/>
      <c r="AC394" s="169"/>
      <c r="AD394" s="169"/>
      <c r="AE394" s="169"/>
      <c r="AF394" s="169"/>
      <c r="AG394" s="169"/>
      <c r="AH394" s="169"/>
      <c r="AI394" s="169"/>
      <c r="AJ394" s="169"/>
      <c r="AK394" s="169"/>
      <c r="AL394" s="169"/>
      <c r="AM394" s="169"/>
      <c r="AN394" s="169"/>
      <c r="AO394" s="169"/>
      <c r="AP394" s="169"/>
    </row>
    <row r="395" spans="5:42" x14ac:dyDescent="0.2">
      <c r="E395" s="169"/>
      <c r="F395" s="169"/>
      <c r="G395" s="169"/>
      <c r="H395" s="169"/>
      <c r="I395" s="169"/>
      <c r="J395" s="169"/>
      <c r="K395" s="169"/>
      <c r="L395" s="169"/>
      <c r="M395" s="169"/>
      <c r="N395" s="169"/>
      <c r="O395" s="169"/>
      <c r="P395" s="169"/>
      <c r="Q395" s="169"/>
      <c r="R395" s="169"/>
      <c r="S395" s="169"/>
      <c r="T395" s="169"/>
      <c r="U395" s="169"/>
      <c r="V395" s="169"/>
      <c r="W395" s="169"/>
      <c r="X395" s="169"/>
      <c r="Y395" s="169"/>
      <c r="Z395" s="169"/>
      <c r="AA395" s="169"/>
      <c r="AB395" s="169"/>
      <c r="AC395" s="169"/>
      <c r="AD395" s="169"/>
      <c r="AE395" s="169"/>
      <c r="AF395" s="169"/>
      <c r="AG395" s="169"/>
      <c r="AH395" s="169"/>
      <c r="AI395" s="169"/>
      <c r="AJ395" s="169"/>
      <c r="AK395" s="169"/>
      <c r="AL395" s="169"/>
      <c r="AM395" s="169"/>
      <c r="AN395" s="169"/>
      <c r="AO395" s="169"/>
      <c r="AP395" s="169"/>
    </row>
    <row r="396" spans="5:42" x14ac:dyDescent="0.2">
      <c r="E396" s="169"/>
      <c r="F396" s="169"/>
      <c r="G396" s="169"/>
      <c r="H396" s="169"/>
      <c r="I396" s="169"/>
      <c r="J396" s="169"/>
      <c r="K396" s="169"/>
      <c r="L396" s="169"/>
      <c r="M396" s="169"/>
      <c r="N396" s="169"/>
      <c r="O396" s="169"/>
      <c r="P396" s="169"/>
      <c r="Q396" s="169"/>
      <c r="R396" s="169"/>
      <c r="S396" s="169"/>
      <c r="T396" s="169"/>
      <c r="U396" s="169"/>
      <c r="V396" s="169"/>
      <c r="W396" s="169"/>
      <c r="X396" s="169"/>
      <c r="Y396" s="169"/>
      <c r="Z396" s="169"/>
      <c r="AA396" s="169"/>
      <c r="AB396" s="169"/>
      <c r="AC396" s="169"/>
      <c r="AD396" s="169"/>
      <c r="AE396" s="169"/>
      <c r="AF396" s="169"/>
      <c r="AG396" s="169"/>
      <c r="AH396" s="169"/>
      <c r="AI396" s="169"/>
      <c r="AJ396" s="169"/>
      <c r="AK396" s="169"/>
      <c r="AL396" s="169"/>
      <c r="AM396" s="169"/>
      <c r="AN396" s="169"/>
      <c r="AO396" s="169"/>
      <c r="AP396" s="169"/>
    </row>
    <row r="397" spans="5:42" x14ac:dyDescent="0.2">
      <c r="E397" s="169"/>
      <c r="F397" s="169"/>
      <c r="G397" s="169"/>
      <c r="H397" s="169"/>
      <c r="I397" s="169"/>
      <c r="J397" s="169"/>
      <c r="K397" s="169"/>
      <c r="L397" s="169"/>
      <c r="M397" s="169"/>
      <c r="N397" s="169"/>
      <c r="O397" s="169"/>
      <c r="P397" s="169"/>
      <c r="Q397" s="169"/>
      <c r="R397" s="169"/>
      <c r="S397" s="169"/>
      <c r="T397" s="169"/>
      <c r="U397" s="169"/>
      <c r="V397" s="169"/>
      <c r="W397" s="169"/>
      <c r="X397" s="169"/>
      <c r="Y397" s="169"/>
      <c r="Z397" s="169"/>
      <c r="AA397" s="169"/>
      <c r="AB397" s="169"/>
      <c r="AC397" s="169"/>
      <c r="AD397" s="169"/>
      <c r="AE397" s="169"/>
      <c r="AF397" s="169"/>
      <c r="AG397" s="169"/>
      <c r="AH397" s="169"/>
      <c r="AI397" s="169"/>
      <c r="AJ397" s="169"/>
      <c r="AK397" s="169"/>
      <c r="AL397" s="169"/>
      <c r="AM397" s="169"/>
      <c r="AN397" s="169"/>
      <c r="AO397" s="169"/>
      <c r="AP397" s="169"/>
    </row>
    <row r="398" spans="5:42" x14ac:dyDescent="0.2">
      <c r="E398" s="169"/>
      <c r="F398" s="169"/>
      <c r="G398" s="169"/>
      <c r="H398" s="169"/>
      <c r="I398" s="169"/>
      <c r="J398" s="169"/>
      <c r="K398" s="169"/>
      <c r="L398" s="169"/>
      <c r="M398" s="169"/>
      <c r="N398" s="169"/>
      <c r="O398" s="169"/>
      <c r="P398" s="169"/>
      <c r="Q398" s="169"/>
      <c r="R398" s="169"/>
      <c r="S398" s="169"/>
      <c r="T398" s="169"/>
      <c r="U398" s="169"/>
      <c r="V398" s="169"/>
      <c r="W398" s="169"/>
      <c r="X398" s="169"/>
      <c r="Y398" s="169"/>
      <c r="Z398" s="169"/>
      <c r="AA398" s="169"/>
      <c r="AB398" s="169"/>
      <c r="AC398" s="169"/>
      <c r="AD398" s="169"/>
      <c r="AE398" s="169"/>
      <c r="AF398" s="169"/>
      <c r="AG398" s="169"/>
      <c r="AH398" s="169"/>
      <c r="AI398" s="169"/>
      <c r="AJ398" s="169"/>
      <c r="AK398" s="169"/>
      <c r="AL398" s="169"/>
      <c r="AM398" s="169"/>
      <c r="AN398" s="169"/>
      <c r="AO398" s="169"/>
      <c r="AP398" s="169"/>
    </row>
    <row r="399" spans="5:42" x14ac:dyDescent="0.2">
      <c r="E399" s="169"/>
      <c r="F399" s="169"/>
      <c r="G399" s="169"/>
      <c r="H399" s="169"/>
      <c r="I399" s="169"/>
      <c r="J399" s="169"/>
      <c r="K399" s="169"/>
      <c r="L399" s="169"/>
      <c r="M399" s="169"/>
      <c r="N399" s="169"/>
      <c r="O399" s="169"/>
      <c r="P399" s="169"/>
      <c r="Q399" s="169"/>
      <c r="R399" s="169"/>
      <c r="S399" s="169"/>
      <c r="T399" s="169"/>
      <c r="U399" s="169"/>
      <c r="V399" s="169"/>
      <c r="W399" s="169"/>
      <c r="X399" s="169"/>
      <c r="Y399" s="169"/>
      <c r="Z399" s="169"/>
      <c r="AA399" s="169"/>
      <c r="AB399" s="169"/>
      <c r="AC399" s="169"/>
      <c r="AD399" s="169"/>
      <c r="AE399" s="169"/>
      <c r="AF399" s="169"/>
      <c r="AG399" s="169"/>
      <c r="AH399" s="169"/>
      <c r="AI399" s="169"/>
      <c r="AJ399" s="169"/>
      <c r="AK399" s="169"/>
      <c r="AL399" s="169"/>
      <c r="AM399" s="169"/>
      <c r="AN399" s="169"/>
      <c r="AO399" s="169"/>
      <c r="AP399" s="169"/>
    </row>
    <row r="400" spans="5:42" x14ac:dyDescent="0.2">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c r="AA400" s="169"/>
      <c r="AB400" s="169"/>
      <c r="AC400" s="169"/>
      <c r="AD400" s="169"/>
      <c r="AE400" s="169"/>
      <c r="AF400" s="169"/>
      <c r="AG400" s="169"/>
      <c r="AH400" s="169"/>
      <c r="AI400" s="169"/>
      <c r="AJ400" s="169"/>
      <c r="AK400" s="169"/>
      <c r="AL400" s="169"/>
      <c r="AM400" s="169"/>
      <c r="AN400" s="169"/>
      <c r="AO400" s="169"/>
      <c r="AP400" s="169"/>
    </row>
    <row r="401" spans="5:42" x14ac:dyDescent="0.2">
      <c r="E401" s="169"/>
      <c r="F401" s="169"/>
      <c r="G401" s="169"/>
      <c r="H401" s="169"/>
      <c r="I401" s="169"/>
      <c r="J401" s="169"/>
      <c r="K401" s="169"/>
      <c r="L401" s="169"/>
      <c r="M401" s="169"/>
      <c r="N401" s="169"/>
      <c r="O401" s="169"/>
      <c r="P401" s="169"/>
      <c r="Q401" s="169"/>
      <c r="R401" s="169"/>
      <c r="S401" s="169"/>
      <c r="T401" s="169"/>
      <c r="U401" s="169"/>
      <c r="V401" s="169"/>
      <c r="W401" s="169"/>
      <c r="X401" s="169"/>
      <c r="Y401" s="169"/>
      <c r="Z401" s="169"/>
      <c r="AA401" s="169"/>
      <c r="AB401" s="169"/>
      <c r="AC401" s="169"/>
      <c r="AD401" s="169"/>
      <c r="AE401" s="169"/>
      <c r="AF401" s="169"/>
      <c r="AG401" s="169"/>
      <c r="AH401" s="169"/>
      <c r="AI401" s="169"/>
      <c r="AJ401" s="169"/>
      <c r="AK401" s="169"/>
      <c r="AL401" s="169"/>
      <c r="AM401" s="169"/>
      <c r="AN401" s="169"/>
      <c r="AO401" s="169"/>
      <c r="AP401" s="169"/>
    </row>
    <row r="402" spans="5:42" x14ac:dyDescent="0.2">
      <c r="E402" s="169"/>
      <c r="F402" s="169"/>
      <c r="G402" s="169"/>
      <c r="H402" s="169"/>
      <c r="I402" s="169"/>
      <c r="J402" s="169"/>
      <c r="K402" s="169"/>
      <c r="L402" s="169"/>
      <c r="M402" s="169"/>
      <c r="N402" s="169"/>
      <c r="O402" s="169"/>
      <c r="P402" s="169"/>
      <c r="Q402" s="169"/>
      <c r="R402" s="169"/>
      <c r="S402" s="169"/>
      <c r="T402" s="169"/>
      <c r="U402" s="169"/>
      <c r="V402" s="169"/>
      <c r="W402" s="169"/>
      <c r="X402" s="169"/>
      <c r="Y402" s="169"/>
      <c r="Z402" s="169"/>
      <c r="AA402" s="169"/>
      <c r="AB402" s="169"/>
      <c r="AC402" s="169"/>
      <c r="AD402" s="169"/>
      <c r="AE402" s="169"/>
      <c r="AF402" s="169"/>
      <c r="AG402" s="169"/>
      <c r="AH402" s="169"/>
      <c r="AI402" s="169"/>
      <c r="AJ402" s="169"/>
      <c r="AK402" s="169"/>
      <c r="AL402" s="169"/>
      <c r="AM402" s="169"/>
      <c r="AN402" s="169"/>
      <c r="AO402" s="169"/>
      <c r="AP402" s="169"/>
    </row>
    <row r="403" spans="5:42" x14ac:dyDescent="0.2">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c r="AA403" s="169"/>
      <c r="AB403" s="169"/>
      <c r="AC403" s="169"/>
      <c r="AD403" s="169"/>
      <c r="AE403" s="169"/>
      <c r="AF403" s="169"/>
      <c r="AG403" s="169"/>
      <c r="AH403" s="169"/>
      <c r="AI403" s="169"/>
      <c r="AJ403" s="169"/>
      <c r="AK403" s="169"/>
      <c r="AL403" s="169"/>
      <c r="AM403" s="169"/>
      <c r="AN403" s="169"/>
      <c r="AO403" s="169"/>
      <c r="AP403" s="169"/>
    </row>
    <row r="404" spans="5:42" x14ac:dyDescent="0.2">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c r="AA404" s="169"/>
      <c r="AB404" s="169"/>
      <c r="AC404" s="169"/>
      <c r="AD404" s="169"/>
      <c r="AE404" s="169"/>
      <c r="AF404" s="169"/>
      <c r="AG404" s="169"/>
      <c r="AH404" s="169"/>
      <c r="AI404" s="169"/>
      <c r="AJ404" s="169"/>
      <c r="AK404" s="169"/>
      <c r="AL404" s="169"/>
      <c r="AM404" s="169"/>
      <c r="AN404" s="169"/>
      <c r="AO404" s="169"/>
      <c r="AP404" s="169"/>
    </row>
    <row r="405" spans="5:42" x14ac:dyDescent="0.2">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c r="AA405" s="169"/>
      <c r="AB405" s="169"/>
      <c r="AC405" s="169"/>
      <c r="AD405" s="169"/>
      <c r="AE405" s="169"/>
      <c r="AF405" s="169"/>
      <c r="AG405" s="169"/>
      <c r="AH405" s="169"/>
      <c r="AI405" s="169"/>
      <c r="AJ405" s="169"/>
      <c r="AK405" s="169"/>
      <c r="AL405" s="169"/>
      <c r="AM405" s="169"/>
      <c r="AN405" s="169"/>
      <c r="AO405" s="169"/>
      <c r="AP405" s="169"/>
    </row>
    <row r="406" spans="5:42" x14ac:dyDescent="0.2">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c r="AA406" s="169"/>
      <c r="AB406" s="169"/>
      <c r="AC406" s="169"/>
      <c r="AD406" s="169"/>
      <c r="AE406" s="169"/>
      <c r="AF406" s="169"/>
      <c r="AG406" s="169"/>
      <c r="AH406" s="169"/>
      <c r="AI406" s="169"/>
      <c r="AJ406" s="169"/>
      <c r="AK406" s="169"/>
      <c r="AL406" s="169"/>
      <c r="AM406" s="169"/>
      <c r="AN406" s="169"/>
      <c r="AO406" s="169"/>
      <c r="AP406" s="169"/>
    </row>
    <row r="407" spans="5:42" x14ac:dyDescent="0.2">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c r="AA407" s="169"/>
      <c r="AB407" s="169"/>
      <c r="AC407" s="169"/>
      <c r="AD407" s="169"/>
      <c r="AE407" s="169"/>
      <c r="AF407" s="169"/>
      <c r="AG407" s="169"/>
      <c r="AH407" s="169"/>
      <c r="AI407" s="169"/>
      <c r="AJ407" s="169"/>
      <c r="AK407" s="169"/>
      <c r="AL407" s="169"/>
      <c r="AM407" s="169"/>
      <c r="AN407" s="169"/>
      <c r="AO407" s="169"/>
      <c r="AP407" s="169"/>
    </row>
    <row r="408" spans="5:42" x14ac:dyDescent="0.2">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c r="AA408" s="169"/>
      <c r="AB408" s="169"/>
      <c r="AC408" s="169"/>
      <c r="AD408" s="169"/>
      <c r="AE408" s="169"/>
      <c r="AF408" s="169"/>
      <c r="AG408" s="169"/>
      <c r="AH408" s="169"/>
      <c r="AI408" s="169"/>
      <c r="AJ408" s="169"/>
      <c r="AK408" s="169"/>
      <c r="AL408" s="169"/>
      <c r="AM408" s="169"/>
      <c r="AN408" s="169"/>
      <c r="AO408" s="169"/>
      <c r="AP408" s="169"/>
    </row>
    <row r="409" spans="5:42" x14ac:dyDescent="0.2">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c r="AA409" s="169"/>
      <c r="AB409" s="169"/>
      <c r="AC409" s="169"/>
      <c r="AD409" s="169"/>
      <c r="AE409" s="169"/>
      <c r="AF409" s="169"/>
      <c r="AG409" s="169"/>
      <c r="AH409" s="169"/>
      <c r="AI409" s="169"/>
      <c r="AJ409" s="169"/>
      <c r="AK409" s="169"/>
      <c r="AL409" s="169"/>
      <c r="AM409" s="169"/>
      <c r="AN409" s="169"/>
      <c r="AO409" s="169"/>
      <c r="AP409" s="169"/>
    </row>
    <row r="410" spans="5:42" x14ac:dyDescent="0.2">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c r="AA410" s="169"/>
      <c r="AB410" s="169"/>
      <c r="AC410" s="169"/>
      <c r="AD410" s="169"/>
      <c r="AE410" s="169"/>
      <c r="AF410" s="169"/>
      <c r="AG410" s="169"/>
      <c r="AH410" s="169"/>
      <c r="AI410" s="169"/>
      <c r="AJ410" s="169"/>
      <c r="AK410" s="169"/>
      <c r="AL410" s="169"/>
      <c r="AM410" s="169"/>
      <c r="AN410" s="169"/>
      <c r="AO410" s="169"/>
      <c r="AP410" s="169"/>
    </row>
    <row r="411" spans="5:42" x14ac:dyDescent="0.2">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c r="AA411" s="169"/>
      <c r="AB411" s="169"/>
      <c r="AC411" s="169"/>
      <c r="AD411" s="169"/>
      <c r="AE411" s="169"/>
      <c r="AF411" s="169"/>
      <c r="AG411" s="169"/>
      <c r="AH411" s="169"/>
      <c r="AI411" s="169"/>
      <c r="AJ411" s="169"/>
      <c r="AK411" s="169"/>
      <c r="AL411" s="169"/>
      <c r="AM411" s="169"/>
      <c r="AN411" s="169"/>
      <c r="AO411" s="169"/>
      <c r="AP411" s="169"/>
    </row>
    <row r="412" spans="5:42" x14ac:dyDescent="0.2">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c r="AA412" s="169"/>
      <c r="AB412" s="169"/>
      <c r="AC412" s="169"/>
      <c r="AD412" s="169"/>
      <c r="AE412" s="169"/>
      <c r="AF412" s="169"/>
      <c r="AG412" s="169"/>
      <c r="AH412" s="169"/>
      <c r="AI412" s="169"/>
      <c r="AJ412" s="169"/>
      <c r="AK412" s="169"/>
      <c r="AL412" s="169"/>
      <c r="AM412" s="169"/>
      <c r="AN412" s="169"/>
      <c r="AO412" s="169"/>
      <c r="AP412" s="169"/>
    </row>
    <row r="413" spans="5:42" x14ac:dyDescent="0.2">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c r="AA413" s="169"/>
      <c r="AB413" s="169"/>
      <c r="AC413" s="169"/>
      <c r="AD413" s="169"/>
      <c r="AE413" s="169"/>
      <c r="AF413" s="169"/>
      <c r="AG413" s="169"/>
      <c r="AH413" s="169"/>
      <c r="AI413" s="169"/>
      <c r="AJ413" s="169"/>
      <c r="AK413" s="169"/>
      <c r="AL413" s="169"/>
      <c r="AM413" s="169"/>
      <c r="AN413" s="169"/>
      <c r="AO413" s="169"/>
      <c r="AP413" s="169"/>
    </row>
    <row r="414" spans="5:42" x14ac:dyDescent="0.2">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c r="AA414" s="169"/>
      <c r="AB414" s="169"/>
      <c r="AC414" s="169"/>
      <c r="AD414" s="169"/>
      <c r="AE414" s="169"/>
      <c r="AF414" s="169"/>
      <c r="AG414" s="169"/>
      <c r="AH414" s="169"/>
      <c r="AI414" s="169"/>
      <c r="AJ414" s="169"/>
      <c r="AK414" s="169"/>
      <c r="AL414" s="169"/>
      <c r="AM414" s="169"/>
      <c r="AN414" s="169"/>
      <c r="AO414" s="169"/>
      <c r="AP414" s="169"/>
    </row>
    <row r="415" spans="5:42" x14ac:dyDescent="0.2">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c r="AA415" s="169"/>
      <c r="AB415" s="169"/>
      <c r="AC415" s="169"/>
      <c r="AD415" s="169"/>
      <c r="AE415" s="169"/>
      <c r="AF415" s="169"/>
      <c r="AG415" s="169"/>
      <c r="AH415" s="169"/>
      <c r="AI415" s="169"/>
      <c r="AJ415" s="169"/>
      <c r="AK415" s="169"/>
      <c r="AL415" s="169"/>
      <c r="AM415" s="169"/>
      <c r="AN415" s="169"/>
      <c r="AO415" s="169"/>
      <c r="AP415" s="169"/>
    </row>
    <row r="416" spans="5:42" x14ac:dyDescent="0.2">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c r="AA416" s="169"/>
      <c r="AB416" s="169"/>
      <c r="AC416" s="169"/>
      <c r="AD416" s="169"/>
      <c r="AE416" s="169"/>
      <c r="AF416" s="169"/>
      <c r="AG416" s="169"/>
      <c r="AH416" s="169"/>
      <c r="AI416" s="169"/>
      <c r="AJ416" s="169"/>
      <c r="AK416" s="169"/>
      <c r="AL416" s="169"/>
      <c r="AM416" s="169"/>
      <c r="AN416" s="169"/>
      <c r="AO416" s="169"/>
      <c r="AP416" s="169"/>
    </row>
    <row r="417" spans="5:42" x14ac:dyDescent="0.2">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c r="AA417" s="169"/>
      <c r="AB417" s="169"/>
      <c r="AC417" s="169"/>
      <c r="AD417" s="169"/>
      <c r="AE417" s="169"/>
      <c r="AF417" s="169"/>
      <c r="AG417" s="169"/>
      <c r="AH417" s="169"/>
      <c r="AI417" s="169"/>
      <c r="AJ417" s="169"/>
      <c r="AK417" s="169"/>
      <c r="AL417" s="169"/>
      <c r="AM417" s="169"/>
      <c r="AN417" s="169"/>
      <c r="AO417" s="169"/>
      <c r="AP417" s="169"/>
    </row>
    <row r="418" spans="5:42" x14ac:dyDescent="0.2">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c r="AA418" s="169"/>
      <c r="AB418" s="169"/>
      <c r="AC418" s="169"/>
      <c r="AD418" s="169"/>
      <c r="AE418" s="169"/>
      <c r="AF418" s="169"/>
      <c r="AG418" s="169"/>
      <c r="AH418" s="169"/>
      <c r="AI418" s="169"/>
      <c r="AJ418" s="169"/>
      <c r="AK418" s="169"/>
      <c r="AL418" s="169"/>
      <c r="AM418" s="169"/>
      <c r="AN418" s="169"/>
      <c r="AO418" s="169"/>
      <c r="AP418" s="169"/>
    </row>
    <row r="419" spans="5:42" x14ac:dyDescent="0.2">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c r="AA419" s="169"/>
      <c r="AB419" s="169"/>
      <c r="AC419" s="169"/>
      <c r="AD419" s="169"/>
      <c r="AE419" s="169"/>
      <c r="AF419" s="169"/>
      <c r="AG419" s="169"/>
      <c r="AH419" s="169"/>
      <c r="AI419" s="169"/>
      <c r="AJ419" s="169"/>
      <c r="AK419" s="169"/>
      <c r="AL419" s="169"/>
      <c r="AM419" s="169"/>
      <c r="AN419" s="169"/>
      <c r="AO419" s="169"/>
      <c r="AP419" s="169"/>
    </row>
    <row r="420" spans="5:42" x14ac:dyDescent="0.2">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c r="AA420" s="169"/>
      <c r="AB420" s="169"/>
      <c r="AC420" s="169"/>
      <c r="AD420" s="169"/>
      <c r="AE420" s="169"/>
      <c r="AF420" s="169"/>
      <c r="AG420" s="169"/>
      <c r="AH420" s="169"/>
      <c r="AI420" s="169"/>
      <c r="AJ420" s="169"/>
      <c r="AK420" s="169"/>
      <c r="AL420" s="169"/>
      <c r="AM420" s="169"/>
      <c r="AN420" s="169"/>
      <c r="AO420" s="169"/>
      <c r="AP420" s="169"/>
    </row>
    <row r="421" spans="5:42" x14ac:dyDescent="0.2">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c r="AA421" s="169"/>
      <c r="AB421" s="169"/>
      <c r="AC421" s="169"/>
      <c r="AD421" s="169"/>
      <c r="AE421" s="169"/>
      <c r="AF421" s="169"/>
      <c r="AG421" s="169"/>
      <c r="AH421" s="169"/>
      <c r="AI421" s="169"/>
      <c r="AJ421" s="169"/>
      <c r="AK421" s="169"/>
      <c r="AL421" s="169"/>
      <c r="AM421" s="169"/>
      <c r="AN421" s="169"/>
      <c r="AO421" s="169"/>
      <c r="AP421" s="169"/>
    </row>
    <row r="422" spans="5:42" x14ac:dyDescent="0.2">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c r="AA422" s="169"/>
      <c r="AB422" s="169"/>
      <c r="AC422" s="169"/>
      <c r="AD422" s="169"/>
      <c r="AE422" s="169"/>
      <c r="AF422" s="169"/>
      <c r="AG422" s="169"/>
      <c r="AH422" s="169"/>
      <c r="AI422" s="169"/>
      <c r="AJ422" s="169"/>
      <c r="AK422" s="169"/>
      <c r="AL422" s="169"/>
      <c r="AM422" s="169"/>
      <c r="AN422" s="169"/>
      <c r="AO422" s="169"/>
      <c r="AP422" s="169"/>
    </row>
    <row r="423" spans="5:42" x14ac:dyDescent="0.2">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c r="AA423" s="169"/>
      <c r="AB423" s="169"/>
      <c r="AC423" s="169"/>
      <c r="AD423" s="169"/>
      <c r="AE423" s="169"/>
      <c r="AF423" s="169"/>
      <c r="AG423" s="169"/>
      <c r="AH423" s="169"/>
      <c r="AI423" s="169"/>
      <c r="AJ423" s="169"/>
      <c r="AK423" s="169"/>
      <c r="AL423" s="169"/>
      <c r="AM423" s="169"/>
      <c r="AN423" s="169"/>
      <c r="AO423" s="169"/>
      <c r="AP423" s="169"/>
    </row>
    <row r="424" spans="5:42" x14ac:dyDescent="0.2">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c r="AA424" s="169"/>
      <c r="AB424" s="169"/>
      <c r="AC424" s="169"/>
      <c r="AD424" s="169"/>
      <c r="AE424" s="169"/>
      <c r="AF424" s="169"/>
      <c r="AG424" s="169"/>
      <c r="AH424" s="169"/>
      <c r="AI424" s="169"/>
      <c r="AJ424" s="169"/>
      <c r="AK424" s="169"/>
      <c r="AL424" s="169"/>
      <c r="AM424" s="169"/>
      <c r="AN424" s="169"/>
      <c r="AO424" s="169"/>
      <c r="AP424" s="169"/>
    </row>
    <row r="425" spans="5:42" x14ac:dyDescent="0.2">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c r="AA425" s="169"/>
      <c r="AB425" s="169"/>
      <c r="AC425" s="169"/>
      <c r="AD425" s="169"/>
      <c r="AE425" s="169"/>
      <c r="AF425" s="169"/>
      <c r="AG425" s="169"/>
      <c r="AH425" s="169"/>
      <c r="AI425" s="169"/>
      <c r="AJ425" s="169"/>
      <c r="AK425" s="169"/>
      <c r="AL425" s="169"/>
      <c r="AM425" s="169"/>
      <c r="AN425" s="169"/>
      <c r="AO425" s="169"/>
      <c r="AP425" s="169"/>
    </row>
    <row r="426" spans="5:42" x14ac:dyDescent="0.2">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c r="AA426" s="169"/>
      <c r="AB426" s="169"/>
      <c r="AC426" s="169"/>
      <c r="AD426" s="169"/>
      <c r="AE426" s="169"/>
      <c r="AF426" s="169"/>
      <c r="AG426" s="169"/>
      <c r="AH426" s="169"/>
      <c r="AI426" s="169"/>
      <c r="AJ426" s="169"/>
      <c r="AK426" s="169"/>
      <c r="AL426" s="169"/>
      <c r="AM426" s="169"/>
      <c r="AN426" s="169"/>
      <c r="AO426" s="169"/>
      <c r="AP426" s="169"/>
    </row>
    <row r="427" spans="5:42" x14ac:dyDescent="0.2">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c r="AA427" s="169"/>
      <c r="AB427" s="169"/>
      <c r="AC427" s="169"/>
      <c r="AD427" s="169"/>
      <c r="AE427" s="169"/>
      <c r="AF427" s="169"/>
      <c r="AG427" s="169"/>
      <c r="AH427" s="169"/>
      <c r="AI427" s="169"/>
      <c r="AJ427" s="169"/>
      <c r="AK427" s="169"/>
      <c r="AL427" s="169"/>
      <c r="AM427" s="169"/>
      <c r="AN427" s="169"/>
      <c r="AO427" s="169"/>
      <c r="AP427" s="169"/>
    </row>
    <row r="428" spans="5:42" x14ac:dyDescent="0.2">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c r="AA428" s="169"/>
      <c r="AB428" s="169"/>
      <c r="AC428" s="169"/>
      <c r="AD428" s="169"/>
      <c r="AE428" s="169"/>
      <c r="AF428" s="169"/>
      <c r="AG428" s="169"/>
      <c r="AH428" s="169"/>
      <c r="AI428" s="169"/>
      <c r="AJ428" s="169"/>
      <c r="AK428" s="169"/>
      <c r="AL428" s="169"/>
      <c r="AM428" s="169"/>
      <c r="AN428" s="169"/>
      <c r="AO428" s="169"/>
      <c r="AP428" s="169"/>
    </row>
    <row r="429" spans="5:42" x14ac:dyDescent="0.2">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c r="AA429" s="169"/>
      <c r="AB429" s="169"/>
      <c r="AC429" s="169"/>
      <c r="AD429" s="169"/>
      <c r="AE429" s="169"/>
      <c r="AF429" s="169"/>
      <c r="AG429" s="169"/>
      <c r="AH429" s="169"/>
      <c r="AI429" s="169"/>
      <c r="AJ429" s="169"/>
      <c r="AK429" s="169"/>
      <c r="AL429" s="169"/>
      <c r="AM429" s="169"/>
      <c r="AN429" s="169"/>
      <c r="AO429" s="169"/>
      <c r="AP429" s="169"/>
    </row>
    <row r="430" spans="5:42" x14ac:dyDescent="0.2">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c r="AA430" s="169"/>
      <c r="AB430" s="169"/>
      <c r="AC430" s="169"/>
      <c r="AD430" s="169"/>
      <c r="AE430" s="169"/>
      <c r="AF430" s="169"/>
      <c r="AG430" s="169"/>
      <c r="AH430" s="169"/>
      <c r="AI430" s="169"/>
      <c r="AJ430" s="169"/>
      <c r="AK430" s="169"/>
      <c r="AL430" s="169"/>
      <c r="AM430" s="169"/>
      <c r="AN430" s="169"/>
      <c r="AO430" s="169"/>
      <c r="AP430" s="169"/>
    </row>
    <row r="431" spans="5:42" x14ac:dyDescent="0.2">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c r="AA431" s="169"/>
      <c r="AB431" s="169"/>
      <c r="AC431" s="169"/>
      <c r="AD431" s="169"/>
      <c r="AE431" s="169"/>
      <c r="AF431" s="169"/>
      <c r="AG431" s="169"/>
      <c r="AH431" s="169"/>
      <c r="AI431" s="169"/>
      <c r="AJ431" s="169"/>
      <c r="AK431" s="169"/>
      <c r="AL431" s="169"/>
      <c r="AM431" s="169"/>
      <c r="AN431" s="169"/>
      <c r="AO431" s="169"/>
      <c r="AP431" s="169"/>
    </row>
    <row r="432" spans="5:42" x14ac:dyDescent="0.2">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c r="AA432" s="169"/>
      <c r="AB432" s="169"/>
      <c r="AC432" s="169"/>
      <c r="AD432" s="169"/>
      <c r="AE432" s="169"/>
      <c r="AF432" s="169"/>
      <c r="AG432" s="169"/>
      <c r="AH432" s="169"/>
      <c r="AI432" s="169"/>
      <c r="AJ432" s="169"/>
      <c r="AK432" s="169"/>
      <c r="AL432" s="169"/>
      <c r="AM432" s="169"/>
      <c r="AN432" s="169"/>
      <c r="AO432" s="169"/>
      <c r="AP432" s="169"/>
    </row>
    <row r="433" spans="5:42" x14ac:dyDescent="0.2">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c r="AA433" s="169"/>
      <c r="AB433" s="169"/>
      <c r="AC433" s="169"/>
      <c r="AD433" s="169"/>
      <c r="AE433" s="169"/>
      <c r="AF433" s="169"/>
      <c r="AG433" s="169"/>
      <c r="AH433" s="169"/>
      <c r="AI433" s="169"/>
      <c r="AJ433" s="169"/>
      <c r="AK433" s="169"/>
      <c r="AL433" s="169"/>
      <c r="AM433" s="169"/>
      <c r="AN433" s="169"/>
      <c r="AO433" s="169"/>
      <c r="AP433" s="169"/>
    </row>
    <row r="434" spans="5:42" x14ac:dyDescent="0.2">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c r="AA434" s="169"/>
      <c r="AB434" s="169"/>
      <c r="AC434" s="169"/>
      <c r="AD434" s="169"/>
      <c r="AE434" s="169"/>
      <c r="AF434" s="169"/>
      <c r="AG434" s="169"/>
      <c r="AH434" s="169"/>
      <c r="AI434" s="169"/>
      <c r="AJ434" s="169"/>
      <c r="AK434" s="169"/>
      <c r="AL434" s="169"/>
      <c r="AM434" s="169"/>
      <c r="AN434" s="169"/>
      <c r="AO434" s="169"/>
      <c r="AP434" s="169"/>
    </row>
    <row r="435" spans="5:42" x14ac:dyDescent="0.2">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c r="AA435" s="169"/>
      <c r="AB435" s="169"/>
      <c r="AC435" s="169"/>
      <c r="AD435" s="169"/>
      <c r="AE435" s="169"/>
      <c r="AF435" s="169"/>
      <c r="AG435" s="169"/>
      <c r="AH435" s="169"/>
      <c r="AI435" s="169"/>
      <c r="AJ435" s="169"/>
      <c r="AK435" s="169"/>
      <c r="AL435" s="169"/>
      <c r="AM435" s="169"/>
      <c r="AN435" s="169"/>
      <c r="AO435" s="169"/>
      <c r="AP435" s="169"/>
    </row>
    <row r="436" spans="5:42" x14ac:dyDescent="0.2">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c r="AC436" s="169"/>
      <c r="AD436" s="169"/>
      <c r="AE436" s="169"/>
      <c r="AF436" s="169"/>
      <c r="AG436" s="169"/>
      <c r="AH436" s="169"/>
      <c r="AI436" s="169"/>
      <c r="AJ436" s="169"/>
      <c r="AK436" s="169"/>
      <c r="AL436" s="169"/>
      <c r="AM436" s="169"/>
      <c r="AN436" s="169"/>
      <c r="AO436" s="169"/>
      <c r="AP436" s="169"/>
    </row>
    <row r="437" spans="5:42" x14ac:dyDescent="0.2">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c r="AA437" s="169"/>
      <c r="AB437" s="169"/>
      <c r="AC437" s="169"/>
      <c r="AD437" s="169"/>
      <c r="AE437" s="169"/>
      <c r="AF437" s="169"/>
      <c r="AG437" s="169"/>
      <c r="AH437" s="169"/>
      <c r="AI437" s="169"/>
      <c r="AJ437" s="169"/>
      <c r="AK437" s="169"/>
      <c r="AL437" s="169"/>
      <c r="AM437" s="169"/>
      <c r="AN437" s="169"/>
      <c r="AO437" s="169"/>
      <c r="AP437" s="169"/>
    </row>
    <row r="438" spans="5:42" x14ac:dyDescent="0.2">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c r="AC438" s="169"/>
      <c r="AD438" s="169"/>
      <c r="AE438" s="169"/>
      <c r="AF438" s="169"/>
      <c r="AG438" s="169"/>
      <c r="AH438" s="169"/>
      <c r="AI438" s="169"/>
      <c r="AJ438" s="169"/>
      <c r="AK438" s="169"/>
      <c r="AL438" s="169"/>
      <c r="AM438" s="169"/>
      <c r="AN438" s="169"/>
      <c r="AO438" s="169"/>
      <c r="AP438" s="169"/>
    </row>
    <row r="439" spans="5:42" x14ac:dyDescent="0.2">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c r="AA439" s="169"/>
      <c r="AB439" s="169"/>
      <c r="AC439" s="169"/>
      <c r="AD439" s="169"/>
      <c r="AE439" s="169"/>
      <c r="AF439" s="169"/>
      <c r="AG439" s="169"/>
      <c r="AH439" s="169"/>
      <c r="AI439" s="169"/>
      <c r="AJ439" s="169"/>
      <c r="AK439" s="169"/>
      <c r="AL439" s="169"/>
      <c r="AM439" s="169"/>
      <c r="AN439" s="169"/>
      <c r="AO439" s="169"/>
      <c r="AP439" s="169"/>
    </row>
    <row r="440" spans="5:42" x14ac:dyDescent="0.2">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c r="AA440" s="169"/>
      <c r="AB440" s="169"/>
      <c r="AC440" s="169"/>
      <c r="AD440" s="169"/>
      <c r="AE440" s="169"/>
      <c r="AF440" s="169"/>
      <c r="AG440" s="169"/>
      <c r="AH440" s="169"/>
      <c r="AI440" s="169"/>
      <c r="AJ440" s="169"/>
      <c r="AK440" s="169"/>
      <c r="AL440" s="169"/>
      <c r="AM440" s="169"/>
      <c r="AN440" s="169"/>
      <c r="AO440" s="169"/>
      <c r="AP440" s="169"/>
    </row>
    <row r="441" spans="5:42" x14ac:dyDescent="0.2">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c r="AA441" s="169"/>
      <c r="AB441" s="169"/>
      <c r="AC441" s="169"/>
      <c r="AD441" s="169"/>
      <c r="AE441" s="169"/>
      <c r="AF441" s="169"/>
      <c r="AG441" s="169"/>
      <c r="AH441" s="169"/>
      <c r="AI441" s="169"/>
      <c r="AJ441" s="169"/>
      <c r="AK441" s="169"/>
      <c r="AL441" s="169"/>
      <c r="AM441" s="169"/>
      <c r="AN441" s="169"/>
      <c r="AO441" s="169"/>
      <c r="AP441" s="169"/>
    </row>
    <row r="442" spans="5:42" x14ac:dyDescent="0.2">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c r="AA442" s="169"/>
      <c r="AB442" s="169"/>
      <c r="AC442" s="169"/>
      <c r="AD442" s="169"/>
      <c r="AE442" s="169"/>
      <c r="AF442" s="169"/>
      <c r="AG442" s="169"/>
      <c r="AH442" s="169"/>
      <c r="AI442" s="169"/>
      <c r="AJ442" s="169"/>
      <c r="AK442" s="169"/>
      <c r="AL442" s="169"/>
      <c r="AM442" s="169"/>
      <c r="AN442" s="169"/>
      <c r="AO442" s="169"/>
      <c r="AP442" s="169"/>
    </row>
    <row r="443" spans="5:42" x14ac:dyDescent="0.2">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c r="AA443" s="169"/>
      <c r="AB443" s="169"/>
      <c r="AC443" s="169"/>
      <c r="AD443" s="169"/>
      <c r="AE443" s="169"/>
      <c r="AF443" s="169"/>
      <c r="AG443" s="169"/>
      <c r="AH443" s="169"/>
      <c r="AI443" s="169"/>
      <c r="AJ443" s="169"/>
      <c r="AK443" s="169"/>
      <c r="AL443" s="169"/>
      <c r="AM443" s="169"/>
      <c r="AN443" s="169"/>
      <c r="AO443" s="169"/>
      <c r="AP443" s="169"/>
    </row>
    <row r="444" spans="5:42" x14ac:dyDescent="0.2">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c r="AA444" s="169"/>
      <c r="AB444" s="169"/>
      <c r="AC444" s="169"/>
      <c r="AD444" s="169"/>
      <c r="AE444" s="169"/>
      <c r="AF444" s="169"/>
      <c r="AG444" s="169"/>
      <c r="AH444" s="169"/>
      <c r="AI444" s="169"/>
      <c r="AJ444" s="169"/>
      <c r="AK444" s="169"/>
      <c r="AL444" s="169"/>
      <c r="AM444" s="169"/>
      <c r="AN444" s="169"/>
      <c r="AO444" s="169"/>
      <c r="AP444" s="169"/>
    </row>
    <row r="445" spans="5:42" x14ac:dyDescent="0.2">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c r="AA445" s="169"/>
      <c r="AB445" s="169"/>
      <c r="AC445" s="169"/>
      <c r="AD445" s="169"/>
      <c r="AE445" s="169"/>
      <c r="AF445" s="169"/>
      <c r="AG445" s="169"/>
      <c r="AH445" s="169"/>
      <c r="AI445" s="169"/>
      <c r="AJ445" s="169"/>
      <c r="AK445" s="169"/>
      <c r="AL445" s="169"/>
      <c r="AM445" s="169"/>
      <c r="AN445" s="169"/>
      <c r="AO445" s="169"/>
      <c r="AP445" s="169"/>
    </row>
    <row r="446" spans="5:42" x14ac:dyDescent="0.2">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c r="AA446" s="169"/>
      <c r="AB446" s="169"/>
      <c r="AC446" s="169"/>
      <c r="AD446" s="169"/>
      <c r="AE446" s="169"/>
      <c r="AF446" s="169"/>
      <c r="AG446" s="169"/>
      <c r="AH446" s="169"/>
      <c r="AI446" s="169"/>
      <c r="AJ446" s="169"/>
      <c r="AK446" s="169"/>
      <c r="AL446" s="169"/>
      <c r="AM446" s="169"/>
      <c r="AN446" s="169"/>
      <c r="AO446" s="169"/>
      <c r="AP446" s="169"/>
    </row>
    <row r="447" spans="5:42" x14ac:dyDescent="0.2">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c r="AA447" s="169"/>
      <c r="AB447" s="169"/>
      <c r="AC447" s="169"/>
      <c r="AD447" s="169"/>
      <c r="AE447" s="169"/>
      <c r="AF447" s="169"/>
      <c r="AG447" s="169"/>
      <c r="AH447" s="169"/>
      <c r="AI447" s="169"/>
      <c r="AJ447" s="169"/>
      <c r="AK447" s="169"/>
      <c r="AL447" s="169"/>
      <c r="AM447" s="169"/>
      <c r="AN447" s="169"/>
      <c r="AO447" s="169"/>
      <c r="AP447" s="169"/>
    </row>
    <row r="448" spans="5:42" x14ac:dyDescent="0.2">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c r="AA448" s="169"/>
      <c r="AB448" s="169"/>
      <c r="AC448" s="169"/>
      <c r="AD448" s="169"/>
      <c r="AE448" s="169"/>
      <c r="AF448" s="169"/>
      <c r="AG448" s="169"/>
      <c r="AH448" s="169"/>
      <c r="AI448" s="169"/>
      <c r="AJ448" s="169"/>
      <c r="AK448" s="169"/>
      <c r="AL448" s="169"/>
      <c r="AM448" s="169"/>
      <c r="AN448" s="169"/>
      <c r="AO448" s="169"/>
      <c r="AP448" s="169"/>
    </row>
    <row r="449" spans="5:42" x14ac:dyDescent="0.2">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c r="AA449" s="169"/>
      <c r="AB449" s="169"/>
      <c r="AC449" s="169"/>
      <c r="AD449" s="169"/>
      <c r="AE449" s="169"/>
      <c r="AF449" s="169"/>
      <c r="AG449" s="169"/>
      <c r="AH449" s="169"/>
      <c r="AI449" s="169"/>
      <c r="AJ449" s="169"/>
      <c r="AK449" s="169"/>
      <c r="AL449" s="169"/>
      <c r="AM449" s="169"/>
      <c r="AN449" s="169"/>
      <c r="AO449" s="169"/>
      <c r="AP449" s="169"/>
    </row>
    <row r="450" spans="5:42" x14ac:dyDescent="0.2">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c r="AA450" s="169"/>
      <c r="AB450" s="169"/>
      <c r="AC450" s="169"/>
      <c r="AD450" s="169"/>
      <c r="AE450" s="169"/>
      <c r="AF450" s="169"/>
      <c r="AG450" s="169"/>
      <c r="AH450" s="169"/>
      <c r="AI450" s="169"/>
      <c r="AJ450" s="169"/>
      <c r="AK450" s="169"/>
      <c r="AL450" s="169"/>
      <c r="AM450" s="169"/>
      <c r="AN450" s="169"/>
      <c r="AO450" s="169"/>
      <c r="AP450" s="169"/>
    </row>
    <row r="451" spans="5:42" x14ac:dyDescent="0.2">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c r="AA451" s="169"/>
      <c r="AB451" s="169"/>
      <c r="AC451" s="169"/>
      <c r="AD451" s="169"/>
      <c r="AE451" s="169"/>
      <c r="AF451" s="169"/>
      <c r="AG451" s="169"/>
      <c r="AH451" s="169"/>
      <c r="AI451" s="169"/>
      <c r="AJ451" s="169"/>
      <c r="AK451" s="169"/>
      <c r="AL451" s="169"/>
      <c r="AM451" s="169"/>
      <c r="AN451" s="169"/>
      <c r="AO451" s="169"/>
      <c r="AP451" s="169"/>
    </row>
    <row r="452" spans="5:42" x14ac:dyDescent="0.2">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c r="AA452" s="169"/>
      <c r="AB452" s="169"/>
      <c r="AC452" s="169"/>
      <c r="AD452" s="169"/>
      <c r="AE452" s="169"/>
      <c r="AF452" s="169"/>
      <c r="AG452" s="169"/>
      <c r="AH452" s="169"/>
      <c r="AI452" s="169"/>
      <c r="AJ452" s="169"/>
      <c r="AK452" s="169"/>
      <c r="AL452" s="169"/>
      <c r="AM452" s="169"/>
      <c r="AN452" s="169"/>
      <c r="AO452" s="169"/>
      <c r="AP452" s="169"/>
    </row>
    <row r="453" spans="5:42" x14ac:dyDescent="0.2">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c r="AA453" s="169"/>
      <c r="AB453" s="169"/>
      <c r="AC453" s="169"/>
      <c r="AD453" s="169"/>
      <c r="AE453" s="169"/>
      <c r="AF453" s="169"/>
      <c r="AG453" s="169"/>
      <c r="AH453" s="169"/>
      <c r="AI453" s="169"/>
      <c r="AJ453" s="169"/>
      <c r="AK453" s="169"/>
      <c r="AL453" s="169"/>
      <c r="AM453" s="169"/>
      <c r="AN453" s="169"/>
      <c r="AO453" s="169"/>
      <c r="AP453" s="169"/>
    </row>
    <row r="454" spans="5:42" x14ac:dyDescent="0.2">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c r="AA454" s="169"/>
      <c r="AB454" s="169"/>
      <c r="AC454" s="169"/>
      <c r="AD454" s="169"/>
      <c r="AE454" s="169"/>
      <c r="AF454" s="169"/>
      <c r="AG454" s="169"/>
      <c r="AH454" s="169"/>
      <c r="AI454" s="169"/>
      <c r="AJ454" s="169"/>
      <c r="AK454" s="169"/>
      <c r="AL454" s="169"/>
      <c r="AM454" s="169"/>
      <c r="AN454" s="169"/>
      <c r="AO454" s="169"/>
      <c r="AP454" s="169"/>
    </row>
    <row r="455" spans="5:42" x14ac:dyDescent="0.2">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c r="AA455" s="169"/>
      <c r="AB455" s="169"/>
      <c r="AC455" s="169"/>
      <c r="AD455" s="169"/>
      <c r="AE455" s="169"/>
      <c r="AF455" s="169"/>
      <c r="AG455" s="169"/>
      <c r="AH455" s="169"/>
      <c r="AI455" s="169"/>
      <c r="AJ455" s="169"/>
      <c r="AK455" s="169"/>
      <c r="AL455" s="169"/>
      <c r="AM455" s="169"/>
      <c r="AN455" s="169"/>
      <c r="AO455" s="169"/>
      <c r="AP455" s="169"/>
    </row>
    <row r="456" spans="5:42" x14ac:dyDescent="0.2">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c r="AA456" s="169"/>
      <c r="AB456" s="169"/>
      <c r="AC456" s="169"/>
      <c r="AD456" s="169"/>
      <c r="AE456" s="169"/>
      <c r="AF456" s="169"/>
      <c r="AG456" s="169"/>
      <c r="AH456" s="169"/>
      <c r="AI456" s="169"/>
      <c r="AJ456" s="169"/>
      <c r="AK456" s="169"/>
      <c r="AL456" s="169"/>
      <c r="AM456" s="169"/>
      <c r="AN456" s="169"/>
      <c r="AO456" s="169"/>
      <c r="AP456" s="169"/>
    </row>
    <row r="457" spans="5:42" x14ac:dyDescent="0.2">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c r="AA457" s="169"/>
      <c r="AB457" s="169"/>
      <c r="AC457" s="169"/>
      <c r="AD457" s="169"/>
      <c r="AE457" s="169"/>
      <c r="AF457" s="169"/>
      <c r="AG457" s="169"/>
      <c r="AH457" s="169"/>
      <c r="AI457" s="169"/>
      <c r="AJ457" s="169"/>
      <c r="AK457" s="169"/>
      <c r="AL457" s="169"/>
      <c r="AM457" s="169"/>
      <c r="AN457" s="169"/>
      <c r="AO457" s="169"/>
      <c r="AP457" s="169"/>
    </row>
    <row r="458" spans="5:42" x14ac:dyDescent="0.2">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c r="AA458" s="169"/>
      <c r="AB458" s="169"/>
      <c r="AC458" s="169"/>
      <c r="AD458" s="169"/>
      <c r="AE458" s="169"/>
      <c r="AF458" s="169"/>
      <c r="AG458" s="169"/>
      <c r="AH458" s="169"/>
      <c r="AI458" s="169"/>
      <c r="AJ458" s="169"/>
      <c r="AK458" s="169"/>
      <c r="AL458" s="169"/>
      <c r="AM458" s="169"/>
      <c r="AN458" s="169"/>
      <c r="AO458" s="169"/>
      <c r="AP458" s="169"/>
    </row>
  </sheetData>
  <printOptions horizontalCentered="1"/>
  <pageMargins left="0.25" right="0.25" top="0.49" bottom="0.5" header="0.5" footer="0.5"/>
  <pageSetup scale="75" orientation="landscape" verticalDpi="0" r:id="rId1"/>
  <headerFooter alignWithMargins="0">
    <oddFooter>&amp;L&amp;D&amp;T&amp;C&amp;P&amp;Ro:/Corpdev/North America/Raul/Ammonia/&amp;F</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77"/>
  <sheetViews>
    <sheetView tabSelected="1" topLeftCell="A38" zoomScale="75" zoomScaleNormal="75" zoomScaleSheetLayoutView="75" workbookViewId="0">
      <pane xSplit="5" topLeftCell="H1" activePane="topRight" state="frozen"/>
      <selection activeCell="B33" sqref="B33"/>
      <selection pane="topRight" activeCell="J61" sqref="J61"/>
    </sheetView>
  </sheetViews>
  <sheetFormatPr defaultRowHeight="12.75" outlineLevelRow="1" x14ac:dyDescent="0.2"/>
  <cols>
    <col min="5" max="5" width="16" customWidth="1"/>
    <col min="7" max="7" width="11.85546875" bestFit="1" customWidth="1"/>
    <col min="8" max="8" width="15.5703125" customWidth="1"/>
    <col min="9" max="11" width="14.7109375" customWidth="1"/>
    <col min="12" max="12" width="12.85546875" customWidth="1"/>
    <col min="13" max="13" width="15.28515625" bestFit="1" customWidth="1"/>
    <col min="14" max="15" width="13.28515625" bestFit="1" customWidth="1"/>
    <col min="16" max="16" width="12.42578125" customWidth="1"/>
  </cols>
  <sheetData>
    <row r="1" spans="1:17" ht="30.75" thickBot="1" x14ac:dyDescent="0.45">
      <c r="A1" s="416" t="s">
        <v>518</v>
      </c>
      <c r="B1" s="360"/>
      <c r="C1" s="343"/>
      <c r="D1" s="343"/>
      <c r="E1" s="344"/>
      <c r="F1" s="344"/>
      <c r="G1" s="360"/>
      <c r="H1" s="360"/>
      <c r="I1" s="360"/>
      <c r="J1" s="360"/>
      <c r="K1" s="360"/>
      <c r="L1" s="824" t="s">
        <v>970</v>
      </c>
      <c r="M1" s="824"/>
      <c r="N1" s="824"/>
      <c r="O1" s="824"/>
      <c r="P1" s="824"/>
      <c r="Q1" s="824"/>
    </row>
    <row r="3" spans="1:17" ht="15.75" x14ac:dyDescent="0.25">
      <c r="Q3" s="588" t="s">
        <v>659</v>
      </c>
    </row>
    <row r="7" spans="1:17" x14ac:dyDescent="0.2">
      <c r="I7" s="65"/>
      <c r="J7" s="65"/>
      <c r="K7" s="65"/>
      <c r="L7" s="329"/>
      <c r="M7" s="329"/>
      <c r="N7" s="329"/>
      <c r="O7" s="329"/>
    </row>
    <row r="8" spans="1:17" x14ac:dyDescent="0.2">
      <c r="I8" s="65"/>
      <c r="J8" s="65"/>
      <c r="K8" s="65"/>
      <c r="L8" s="329"/>
      <c r="M8" s="329"/>
      <c r="N8" s="329"/>
      <c r="O8" s="329"/>
    </row>
    <row r="9" spans="1:17" x14ac:dyDescent="0.2">
      <c r="J9" s="110"/>
      <c r="K9" s="110"/>
    </row>
    <row r="10" spans="1:17" x14ac:dyDescent="0.2">
      <c r="I10" s="404" t="s">
        <v>442</v>
      </c>
      <c r="J10" s="705" t="s">
        <v>442</v>
      </c>
      <c r="K10" s="494" t="s">
        <v>600</v>
      </c>
      <c r="L10" s="149" t="s">
        <v>601</v>
      </c>
    </row>
    <row r="11" spans="1:17" x14ac:dyDescent="0.2">
      <c r="B11" s="80" t="s">
        <v>561</v>
      </c>
      <c r="C11" s="298"/>
      <c r="D11" s="298"/>
      <c r="E11" s="298"/>
      <c r="F11" s="298"/>
      <c r="G11" s="399"/>
      <c r="I11" s="400">
        <v>1999</v>
      </c>
      <c r="J11" s="401">
        <v>2000</v>
      </c>
      <c r="K11" s="495">
        <v>2001</v>
      </c>
      <c r="L11" s="401">
        <v>2001</v>
      </c>
      <c r="M11" s="402">
        <v>2002</v>
      </c>
      <c r="N11" s="402">
        <v>2003</v>
      </c>
      <c r="O11" s="402">
        <v>2004</v>
      </c>
      <c r="P11" s="403">
        <v>2005</v>
      </c>
      <c r="Q11" s="298"/>
    </row>
    <row r="12" spans="1:17" x14ac:dyDescent="0.2">
      <c r="B12" s="298"/>
      <c r="C12" s="298"/>
      <c r="D12" s="298"/>
      <c r="E12" s="298"/>
      <c r="F12" s="298"/>
      <c r="G12" s="298"/>
      <c r="K12" s="496"/>
      <c r="L12" s="496"/>
      <c r="M12" s="404"/>
      <c r="N12" s="404"/>
      <c r="O12" s="404"/>
      <c r="P12" s="404"/>
      <c r="Q12" s="298"/>
    </row>
    <row r="13" spans="1:17" x14ac:dyDescent="0.2">
      <c r="B13" t="s">
        <v>842</v>
      </c>
      <c r="K13" s="497"/>
      <c r="L13" s="497"/>
      <c r="Q13" s="298"/>
    </row>
    <row r="14" spans="1:17" x14ac:dyDescent="0.2">
      <c r="B14" s="313" t="s">
        <v>151</v>
      </c>
      <c r="C14" s="298"/>
      <c r="D14" s="298"/>
      <c r="E14" s="298"/>
      <c r="F14" s="298"/>
      <c r="G14" s="298"/>
      <c r="I14" s="405">
        <f>+'Profit &amp; Loss'!J12</f>
        <v>5444</v>
      </c>
      <c r="J14" s="405">
        <f>+'Profit &amp; Loss'!K12</f>
        <v>8922</v>
      </c>
      <c r="K14" s="497">
        <f>AVERAGE($I$14:$J$14)/2</f>
        <v>3591.5</v>
      </c>
      <c r="L14" s="497">
        <f>+K14</f>
        <v>3591.5</v>
      </c>
      <c r="M14" s="502">
        <f>+SUM(K14:L14)*(1+Assumptions!$B$17)</f>
        <v>7470.3200000000006</v>
      </c>
      <c r="N14" s="502">
        <f>+M14*(1+Assumptions!$B$17)</f>
        <v>7769.1328000000012</v>
      </c>
      <c r="O14" s="502">
        <f>+N14*(1+Assumptions!$B$17)</f>
        <v>8079.8981120000017</v>
      </c>
      <c r="P14" s="502">
        <f>+O14*(1+Assumptions!$B$17)</f>
        <v>8403.0940364800026</v>
      </c>
      <c r="Q14" s="298"/>
    </row>
    <row r="15" spans="1:17" x14ac:dyDescent="0.2">
      <c r="B15" s="313" t="s">
        <v>228</v>
      </c>
      <c r="C15" s="298"/>
      <c r="D15" s="298"/>
      <c r="E15" s="298"/>
      <c r="F15" s="298"/>
      <c r="G15" s="298"/>
      <c r="I15" s="406">
        <f>+'Profit &amp; Loss'!J14+('Profit &amp; Loss'!J22/3)</f>
        <v>3957.3333333333335</v>
      </c>
      <c r="J15" s="406">
        <f>+'Profit &amp; Loss'!K14+('Profit &amp; Loss'!K22/3)</f>
        <v>11400</v>
      </c>
      <c r="K15" s="498">
        <f>AVERAGE($I$15:$J$15)/2</f>
        <v>3839.3333333333335</v>
      </c>
      <c r="L15" s="498">
        <f>+K15</f>
        <v>3839.3333333333335</v>
      </c>
      <c r="M15" s="448">
        <f>+SUM(K15:L15)*(1+Assumptions!$B$17)</f>
        <v>7985.8133333333335</v>
      </c>
      <c r="N15" s="448">
        <f>+M15*(1+Assumptions!$B$17)</f>
        <v>8305.245866666668</v>
      </c>
      <c r="O15" s="448">
        <f>+N15*(1+Assumptions!$B$17)</f>
        <v>8637.4557013333342</v>
      </c>
      <c r="P15" s="448">
        <f>+O15*(1+Assumptions!$B$17)</f>
        <v>8982.9539293866674</v>
      </c>
      <c r="Q15" s="298"/>
    </row>
    <row r="16" spans="1:17" x14ac:dyDescent="0.2">
      <c r="B16" s="313" t="s">
        <v>227</v>
      </c>
      <c r="C16" s="298"/>
      <c r="D16" s="298"/>
      <c r="E16" s="298"/>
      <c r="F16" s="298"/>
      <c r="G16" s="298"/>
      <c r="I16" s="406">
        <f>+'Profit &amp; Loss'!J15</f>
        <v>25469</v>
      </c>
      <c r="J16" s="406">
        <f>+'Profit &amp; Loss'!K15</f>
        <v>41461</v>
      </c>
      <c r="K16" s="498">
        <f>(AVERAGE($I$16:$J$16)/2)</f>
        <v>16732.5</v>
      </c>
      <c r="L16" s="498">
        <f>+K16</f>
        <v>16732.5</v>
      </c>
      <c r="M16" s="448">
        <f>+(SUM(K16:L16)*(1+Assumptions!$B$17))</f>
        <v>34803.599999999999</v>
      </c>
      <c r="N16" s="448">
        <f>+(M16*(1+Assumptions!$B$17))</f>
        <v>36195.743999999999</v>
      </c>
      <c r="O16" s="448">
        <f>+(N16*(1+Assumptions!$B$17))</f>
        <v>37643.573759999999</v>
      </c>
      <c r="P16" s="448">
        <f>+(O16*(1+Assumptions!$B$17))</f>
        <v>39149.316710400002</v>
      </c>
      <c r="Q16" s="298"/>
    </row>
    <row r="17" spans="2:17" x14ac:dyDescent="0.2">
      <c r="B17" s="313" t="s">
        <v>229</v>
      </c>
      <c r="C17" s="298"/>
      <c r="D17" s="298"/>
      <c r="E17" s="298"/>
      <c r="F17" s="298"/>
      <c r="G17" s="298"/>
      <c r="I17" s="406">
        <f>+'Profit &amp; Loss'!J16</f>
        <v>13391</v>
      </c>
      <c r="J17" s="406">
        <f>+'Profit &amp; Loss'!K16</f>
        <v>11615</v>
      </c>
      <c r="K17" s="498">
        <f>AVERAGE($I$17:$J$17)/2</f>
        <v>6251.5</v>
      </c>
      <c r="L17" s="498">
        <f>+K17</f>
        <v>6251.5</v>
      </c>
      <c r="M17" s="448">
        <f>+SUM(K17:L17)*(1+Assumptions!$B$17)</f>
        <v>13003.12</v>
      </c>
      <c r="N17" s="448">
        <f>+M17*(1+Assumptions!$B$17)</f>
        <v>13523.2448</v>
      </c>
      <c r="O17" s="448">
        <f>+N17*(1+Assumptions!$B$17)</f>
        <v>14064.174592000001</v>
      </c>
      <c r="P17" s="448">
        <f>+O17*(1+Assumptions!$B$17)</f>
        <v>14626.741575680002</v>
      </c>
      <c r="Q17" s="298"/>
    </row>
    <row r="18" spans="2:17" ht="3.75" customHeight="1" x14ac:dyDescent="0.2">
      <c r="B18" s="298"/>
      <c r="C18" s="298"/>
      <c r="D18" s="298"/>
      <c r="E18" s="298"/>
      <c r="F18" s="298"/>
      <c r="G18" s="298"/>
      <c r="I18" s="406"/>
      <c r="J18" s="406"/>
      <c r="K18" s="498"/>
      <c r="L18" s="498"/>
      <c r="M18" s="448"/>
      <c r="N18" s="448"/>
      <c r="O18" s="448"/>
      <c r="P18" s="448"/>
      <c r="Q18" s="298"/>
    </row>
    <row r="19" spans="2:17" x14ac:dyDescent="0.2">
      <c r="B19" s="298" t="s">
        <v>152</v>
      </c>
      <c r="C19" s="298"/>
      <c r="D19" s="298"/>
      <c r="E19" s="590"/>
      <c r="F19" s="298"/>
      <c r="G19" s="298"/>
      <c r="I19" s="406">
        <f>+'Profit &amp; Loss'!J13+('Profit &amp; Loss'!J22*2/3)</f>
        <v>7621.666666666667</v>
      </c>
      <c r="J19" s="406">
        <f>+'Profit &amp; Loss'!K13+(2/3*'Profit &amp; Loss'!K22)</f>
        <v>9708</v>
      </c>
      <c r="K19" s="498">
        <f ca="1">+('Sea-3 NH '!$J$18+'Sea-3 Tampa'!$J$17)</f>
        <v>5025.0600000000004</v>
      </c>
      <c r="L19" s="498">
        <f ca="1">+('Sea-3 NH '!$J$18+'Sea-3 Tampa'!$J$17)</f>
        <v>5025.0600000000004</v>
      </c>
      <c r="M19" s="448">
        <f ca="1">+('Sea-3 NH '!K18+'Sea-3 Tampa'!K17)</f>
        <v>10244.120000000001</v>
      </c>
      <c r="N19" s="448">
        <f ca="1">+('Sea-3 NH '!L18+'Sea-3 Tampa'!L17)</f>
        <v>8877.36</v>
      </c>
      <c r="O19" s="448">
        <f ca="1">+('Sea-3 NH '!M18+'Sea-3 Tampa'!M17)</f>
        <v>9019.1520000000019</v>
      </c>
      <c r="P19" s="448">
        <f ca="1">+('Sea-3 NH '!N18+'Sea-3 Tampa'!N17)</f>
        <v>8942.615679999999</v>
      </c>
      <c r="Q19" s="298"/>
    </row>
    <row r="20" spans="2:17" x14ac:dyDescent="0.2">
      <c r="B20" s="298" t="s">
        <v>230</v>
      </c>
      <c r="C20" s="298"/>
      <c r="D20" s="298"/>
      <c r="E20" s="298"/>
      <c r="F20" s="298"/>
      <c r="G20" s="298"/>
      <c r="I20" s="330">
        <f>+'Profit &amp; Loss'!J17</f>
        <v>7547</v>
      </c>
      <c r="J20" s="330">
        <f>+'Profit &amp; Loss'!K17</f>
        <v>14102</v>
      </c>
      <c r="K20" s="499">
        <f>AVERAGE($I$20:$J$20)/2</f>
        <v>5412.25</v>
      </c>
      <c r="L20" s="499">
        <f>+K20</f>
        <v>5412.25</v>
      </c>
      <c r="M20" s="503">
        <f>+SUM(K20:L20)*(1+Assumptions!$B$17)</f>
        <v>11257.48</v>
      </c>
      <c r="N20" s="503">
        <f>+M20*(1+Assumptions!$B$17)</f>
        <v>11707.779200000001</v>
      </c>
      <c r="O20" s="503">
        <f>+N20*(1+Assumptions!$B$17)</f>
        <v>12176.090368000001</v>
      </c>
      <c r="P20" s="503">
        <f>+O20*(1+Assumptions!$B$17)</f>
        <v>12663.133982720001</v>
      </c>
      <c r="Q20" s="298"/>
    </row>
    <row r="21" spans="2:17" x14ac:dyDescent="0.2">
      <c r="B21" s="298" t="s">
        <v>430</v>
      </c>
      <c r="C21" s="298"/>
      <c r="D21" s="298"/>
      <c r="E21" s="298"/>
      <c r="F21" s="298"/>
      <c r="G21" s="298"/>
      <c r="I21" s="405">
        <f t="shared" ref="I21:P21" si="0">SUM(I14:I20)</f>
        <v>63430</v>
      </c>
      <c r="J21" s="405">
        <f t="shared" si="0"/>
        <v>97208</v>
      </c>
      <c r="K21" s="497">
        <f t="shared" ca="1" si="0"/>
        <v>40852.143333333333</v>
      </c>
      <c r="L21" s="497">
        <f t="shared" ca="1" si="0"/>
        <v>40852.143333333333</v>
      </c>
      <c r="M21" s="502">
        <f t="shared" ca="1" si="0"/>
        <v>84764.453333333338</v>
      </c>
      <c r="N21" s="502">
        <f t="shared" ca="1" si="0"/>
        <v>86378.506666666683</v>
      </c>
      <c r="O21" s="502">
        <f t="shared" ca="1" si="0"/>
        <v>89620.344533333337</v>
      </c>
      <c r="P21" s="405">
        <f t="shared" ca="1" si="0"/>
        <v>92767.855914666681</v>
      </c>
      <c r="Q21" s="298"/>
    </row>
    <row r="22" spans="2:17" x14ac:dyDescent="0.2">
      <c r="B22" s="298"/>
      <c r="C22" s="298"/>
      <c r="D22" s="298"/>
      <c r="E22" s="298"/>
      <c r="F22" s="298"/>
      <c r="G22" s="298"/>
      <c r="I22" s="131"/>
      <c r="J22" s="293"/>
      <c r="K22" s="500"/>
      <c r="L22" s="500"/>
      <c r="M22" s="493"/>
      <c r="N22" s="293"/>
      <c r="O22" s="293"/>
      <c r="P22" s="131"/>
      <c r="Q22" s="298"/>
    </row>
    <row r="23" spans="2:17" x14ac:dyDescent="0.2">
      <c r="B23" s="298" t="s">
        <v>963</v>
      </c>
      <c r="C23" s="298"/>
      <c r="D23" s="298"/>
      <c r="E23" s="298"/>
      <c r="F23" s="298"/>
      <c r="G23" s="298"/>
      <c r="I23" s="406">
        <f>+'Profit &amp; Loss'!J20+'Misc Calcs'!F9+'Misc Calcs'!J121</f>
        <v>-27622</v>
      </c>
      <c r="J23" s="406">
        <f>+'Profit &amp; Loss'!K20+'Misc Calcs'!G9+'Misc Calcs'!K121</f>
        <v>-29440</v>
      </c>
      <c r="K23" s="498">
        <f>+AVERAGE(I23:J23)/2</f>
        <v>-14265.5</v>
      </c>
      <c r="L23" s="498">
        <f>-(-'Profit &amp; Loss'!J20-'Misc Calcs'!F9-'Misc Calcs'!J121-'Profit &amp; Loss'!K20-'Misc Calcs'!G9-'Misc Calcs'!K121)/4</f>
        <v>-14265.5</v>
      </c>
      <c r="M23" s="448">
        <f>AVERAGE(I23:J23)</f>
        <v>-28531</v>
      </c>
      <c r="N23" s="448">
        <f>+M23</f>
        <v>-28531</v>
      </c>
      <c r="O23" s="448">
        <f>+N23</f>
        <v>-28531</v>
      </c>
      <c r="P23" s="406">
        <f>+O23</f>
        <v>-28531</v>
      </c>
      <c r="Q23" s="298"/>
    </row>
    <row r="24" spans="2:17" x14ac:dyDescent="0.2">
      <c r="B24" s="298" t="s">
        <v>964</v>
      </c>
      <c r="C24" s="298"/>
      <c r="D24" s="298"/>
      <c r="E24" s="298"/>
      <c r="F24" s="298"/>
      <c r="G24" s="407"/>
      <c r="I24" s="406">
        <f>+'Profit &amp; Loss'!J21+'Misc Calcs'!F10+'Misc Calcs'!J123</f>
        <v>-9965</v>
      </c>
      <c r="J24" s="406">
        <f>+'Profit &amp; Loss'!K21+'Misc Calcs'!G10+'Misc Calcs'!K123</f>
        <v>-19369</v>
      </c>
      <c r="K24" s="498">
        <f>AVERAGE(I24:J24)/2</f>
        <v>-7333.5</v>
      </c>
      <c r="L24" s="498">
        <f ca="1">(-(SUM(L14:L17)+L19)*Assumptions!$B$19)</f>
        <v>-7087.9786666666669</v>
      </c>
      <c r="M24" s="448">
        <f ca="1">(-(SUM(M14:M17)+M19)*Assumptions!$B$19)</f>
        <v>-14701.394666666669</v>
      </c>
      <c r="N24" s="448">
        <f ca="1">(-(SUM(N14:N17)+N19)*Assumptions!$B$19)</f>
        <v>-14934.145493333337</v>
      </c>
      <c r="O24" s="448">
        <f ca="1">(-(SUM(O14:O17)+O19)*Assumptions!$B$19)</f>
        <v>-15488.850833066666</v>
      </c>
      <c r="P24" s="448">
        <f ca="1">(-(SUM(P14:P17)+P19)*Assumptions!$B$19)</f>
        <v>-16020.944386389338</v>
      </c>
      <c r="Q24" s="298"/>
    </row>
    <row r="25" spans="2:17" hidden="1" outlineLevel="1" x14ac:dyDescent="0.2">
      <c r="B25" s="298" t="s">
        <v>825</v>
      </c>
      <c r="C25" s="298"/>
      <c r="D25" s="298"/>
      <c r="E25" s="298"/>
      <c r="F25" s="298"/>
      <c r="G25" s="407"/>
      <c r="I25" s="406"/>
      <c r="J25" s="406"/>
      <c r="K25" s="498"/>
      <c r="L25" s="498"/>
      <c r="M25" s="448"/>
      <c r="N25" s="448"/>
      <c r="O25" s="448"/>
      <c r="P25" s="448"/>
      <c r="Q25" s="298"/>
    </row>
    <row r="26" spans="2:17" hidden="1" outlineLevel="1" x14ac:dyDescent="0.2">
      <c r="B26" s="298" t="s">
        <v>824</v>
      </c>
      <c r="C26" s="298"/>
      <c r="D26" s="298"/>
      <c r="E26" s="298"/>
      <c r="F26" s="298"/>
      <c r="G26" s="407"/>
      <c r="I26" s="406"/>
      <c r="J26" s="406"/>
      <c r="K26" s="498"/>
      <c r="L26" s="498"/>
      <c r="M26" s="448"/>
      <c r="N26" s="448"/>
      <c r="O26" s="448"/>
      <c r="P26" s="448"/>
      <c r="Q26" s="298"/>
    </row>
    <row r="27" spans="2:17" collapsed="1" x14ac:dyDescent="0.2">
      <c r="B27" s="298" t="s">
        <v>965</v>
      </c>
      <c r="C27" s="298"/>
      <c r="D27" s="298"/>
      <c r="E27" s="298"/>
      <c r="F27" s="298"/>
      <c r="G27" s="407"/>
      <c r="I27" s="406">
        <v>0</v>
      </c>
      <c r="J27" s="406">
        <v>0</v>
      </c>
      <c r="K27" s="498">
        <v>0</v>
      </c>
      <c r="L27" s="498">
        <f>-(Assumptions!$B$12*200*0.5)-Assumptions!B23*1000/2</f>
        <v>-1500</v>
      </c>
      <c r="M27" s="448">
        <f>-(Assumptions!$B$12*1000/5)-Assumptions!$B$23*1000</f>
        <v>-3000</v>
      </c>
      <c r="N27" s="448">
        <f>-(Assumptions!$B$12*1000/5)-Assumptions!$B$23*1000</f>
        <v>-3000</v>
      </c>
      <c r="O27" s="448">
        <f>-(Assumptions!$B$12*1000/5)-Assumptions!$B$23*1000</f>
        <v>-3000</v>
      </c>
      <c r="P27" s="448">
        <f>-(Assumptions!$B$12*1000/5)-Assumptions!$B$23*1000</f>
        <v>-3000</v>
      </c>
      <c r="Q27" s="298"/>
    </row>
    <row r="28" spans="2:17" hidden="1" outlineLevel="1" x14ac:dyDescent="0.2">
      <c r="B28" s="298" t="s">
        <v>845</v>
      </c>
      <c r="C28" s="298"/>
      <c r="D28" s="298"/>
      <c r="E28" s="298"/>
      <c r="F28" s="298"/>
      <c r="G28" s="407"/>
      <c r="I28" s="406">
        <v>0</v>
      </c>
      <c r="J28" s="406">
        <v>0</v>
      </c>
      <c r="K28" s="498">
        <v>0</v>
      </c>
      <c r="L28" s="498">
        <v>0</v>
      </c>
      <c r="M28" s="448">
        <v>0</v>
      </c>
      <c r="N28" s="448">
        <v>0</v>
      </c>
      <c r="O28" s="448">
        <v>0</v>
      </c>
      <c r="P28" s="448">
        <v>0</v>
      </c>
      <c r="Q28" s="298"/>
    </row>
    <row r="29" spans="2:17" collapsed="1" x14ac:dyDescent="0.2">
      <c r="B29" s="298" t="s">
        <v>966</v>
      </c>
      <c r="C29" s="298"/>
      <c r="D29" s="298"/>
      <c r="E29" s="298"/>
      <c r="F29" s="298"/>
      <c r="G29" s="298"/>
      <c r="I29" s="406">
        <v>0</v>
      </c>
      <c r="J29" s="406">
        <v>0</v>
      </c>
      <c r="K29" s="498">
        <v>0</v>
      </c>
      <c r="L29" s="498">
        <v>0</v>
      </c>
      <c r="M29" s="448">
        <f>Assumptions!E15*(SUM('Valuation - DCF'!M15:M16))</f>
        <v>2139.4706666666666</v>
      </c>
      <c r="N29" s="448">
        <f>Assumptions!F15*(SUM('Valuation - DCF'!N15:N16))</f>
        <v>4450.0989866666669</v>
      </c>
      <c r="O29" s="448">
        <f>Assumptions!G15*(SUM('Valuation - DCF'!O15:O16))</f>
        <v>6942.1544191999992</v>
      </c>
      <c r="P29" s="448">
        <f>Assumptions!H15*(SUM('Valuation - DCF'!P15:P16))</f>
        <v>9626.454127957335</v>
      </c>
      <c r="Q29" s="298"/>
    </row>
    <row r="30" spans="2:17" x14ac:dyDescent="0.2">
      <c r="B30" s="298" t="s">
        <v>967</v>
      </c>
      <c r="C30" s="298"/>
      <c r="D30" s="298"/>
      <c r="E30" s="298"/>
      <c r="F30" s="298"/>
      <c r="G30" s="298"/>
      <c r="I30" s="406">
        <v>0</v>
      </c>
      <c r="J30" s="406">
        <v>0</v>
      </c>
      <c r="K30" s="498">
        <v>0</v>
      </c>
      <c r="L30" s="498">
        <v>0</v>
      </c>
      <c r="M30" s="448">
        <v>5000</v>
      </c>
      <c r="N30" s="448">
        <v>10000</v>
      </c>
      <c r="O30" s="448">
        <v>15000</v>
      </c>
      <c r="P30" s="406">
        <v>20000</v>
      </c>
      <c r="Q30" s="298"/>
    </row>
    <row r="31" spans="2:17" x14ac:dyDescent="0.2">
      <c r="B31" s="298" t="s">
        <v>968</v>
      </c>
      <c r="C31" s="298"/>
      <c r="D31" s="298"/>
      <c r="E31" s="298"/>
      <c r="F31" s="298"/>
      <c r="G31" s="298"/>
      <c r="I31" s="492">
        <v>0</v>
      </c>
      <c r="J31" s="492">
        <v>0</v>
      </c>
      <c r="K31" s="499">
        <v>0</v>
      </c>
      <c r="L31" s="499">
        <f>-Assumptions!$B$18*(L15+L16)</f>
        <v>-1234.31</v>
      </c>
      <c r="M31" s="492">
        <f>-Assumptions!$B$18*(M15+M16)</f>
        <v>-2567.3647999999998</v>
      </c>
      <c r="N31" s="492">
        <f>-Assumptions!$B$18*(N15+N16)</f>
        <v>-2670.0593920000001</v>
      </c>
      <c r="O31" s="492">
        <f>-Assumptions!$B$18*(O15+O16)</f>
        <v>-2776.86176768</v>
      </c>
      <c r="P31" s="492">
        <f>-Assumptions!$B$18*(P15+P16)</f>
        <v>-2887.9362383872003</v>
      </c>
      <c r="Q31" s="298"/>
    </row>
    <row r="32" spans="2:17" x14ac:dyDescent="0.2">
      <c r="B32" s="298" t="s">
        <v>107</v>
      </c>
      <c r="C32" s="298"/>
      <c r="D32" s="298"/>
      <c r="E32" s="298"/>
      <c r="F32" s="298"/>
      <c r="G32" s="298"/>
      <c r="I32" s="405">
        <f t="shared" ref="I32:P32" si="1">SUM(I21:I31)</f>
        <v>25843</v>
      </c>
      <c r="J32" s="405">
        <f t="shared" si="1"/>
        <v>48399</v>
      </c>
      <c r="K32" s="497">
        <f t="shared" ca="1" si="1"/>
        <v>19253.143333333333</v>
      </c>
      <c r="L32" s="497">
        <f t="shared" ca="1" si="1"/>
        <v>16764.354666666666</v>
      </c>
      <c r="M32" s="502">
        <f ca="1">SUM(M21:M31)</f>
        <v>43104.164533333336</v>
      </c>
      <c r="N32" s="502">
        <f t="shared" ca="1" si="1"/>
        <v>51693.400768000007</v>
      </c>
      <c r="O32" s="502">
        <f t="shared" ca="1" si="1"/>
        <v>61765.786351786672</v>
      </c>
      <c r="P32" s="405">
        <f t="shared" ca="1" si="1"/>
        <v>71954.429417847467</v>
      </c>
      <c r="Q32" s="298"/>
    </row>
    <row r="33" spans="2:18" x14ac:dyDescent="0.2">
      <c r="B33" s="298"/>
      <c r="C33" s="298"/>
      <c r="D33" s="298"/>
      <c r="E33" s="298"/>
      <c r="F33" s="298"/>
      <c r="G33" s="298"/>
      <c r="I33" s="131"/>
      <c r="J33" s="293"/>
      <c r="K33" s="500"/>
      <c r="L33" s="500"/>
      <c r="M33" s="293"/>
      <c r="N33" s="293"/>
      <c r="O33" s="293"/>
      <c r="P33" s="131"/>
      <c r="Q33" s="298"/>
    </row>
    <row r="34" spans="2:18" x14ac:dyDescent="0.2">
      <c r="B34" s="298" t="s">
        <v>396</v>
      </c>
      <c r="C34" s="298"/>
      <c r="D34" s="298"/>
      <c r="E34" s="298"/>
      <c r="F34" s="298"/>
      <c r="G34" s="298"/>
      <c r="I34" s="330">
        <f>-'Income Statement'!E16</f>
        <v>-2146</v>
      </c>
      <c r="J34" s="330">
        <f>-'Income Statement'!F16</f>
        <v>-3300</v>
      </c>
      <c r="K34" s="499">
        <f ca="1">-'Income Statement'!G16</f>
        <v>-1332.9317275822159</v>
      </c>
      <c r="L34" s="499">
        <f ca="1">-'Income Statement'!H16</f>
        <v>-1845.0399427051036</v>
      </c>
      <c r="M34" s="492">
        <f ca="1">-'Income Statement'!J16</f>
        <v>-3706.7465520768742</v>
      </c>
      <c r="N34" s="492">
        <f ca="1">-'Income Statement'!K16</f>
        <v>-3723.4132187435407</v>
      </c>
      <c r="O34" s="492">
        <f ca="1">-'Income Statement'!L16</f>
        <v>-3740.0798854102072</v>
      </c>
      <c r="P34" s="492">
        <f ca="1">-'Income Statement'!M16</f>
        <v>-3756.7465520768742</v>
      </c>
      <c r="Q34" s="298"/>
    </row>
    <row r="35" spans="2:18" x14ac:dyDescent="0.2">
      <c r="B35" s="298" t="s">
        <v>82</v>
      </c>
      <c r="C35" s="298"/>
      <c r="D35" s="298"/>
      <c r="E35" s="298"/>
      <c r="F35" s="298"/>
      <c r="G35" s="298"/>
      <c r="I35" s="405">
        <f t="shared" ref="I35:P35" si="2">+I32+I34</f>
        <v>23697</v>
      </c>
      <c r="J35" s="405">
        <f t="shared" si="2"/>
        <v>45099</v>
      </c>
      <c r="K35" s="497">
        <f ca="1">+K32+K34</f>
        <v>17920.211605751116</v>
      </c>
      <c r="L35" s="497">
        <f ca="1">+L32+L34</f>
        <v>14919.314723961563</v>
      </c>
      <c r="M35" s="502">
        <f t="shared" ca="1" si="2"/>
        <v>39397.417981256462</v>
      </c>
      <c r="N35" s="502">
        <f t="shared" ca="1" si="2"/>
        <v>47969.987549256468</v>
      </c>
      <c r="O35" s="502">
        <f t="shared" ca="1" si="2"/>
        <v>58025.706466376461</v>
      </c>
      <c r="P35" s="405">
        <f t="shared" ca="1" si="2"/>
        <v>68197.682865770592</v>
      </c>
      <c r="Q35" s="298"/>
    </row>
    <row r="36" spans="2:18" x14ac:dyDescent="0.2">
      <c r="B36" s="298" t="s">
        <v>812</v>
      </c>
      <c r="C36" s="298"/>
      <c r="D36" s="298"/>
      <c r="E36" s="298"/>
      <c r="F36" s="298"/>
      <c r="G36" s="298"/>
      <c r="I36" s="406">
        <f>+'Profit &amp; Loss'!J33</f>
        <v>-3148</v>
      </c>
      <c r="J36" s="406">
        <f>+'Profit &amp; Loss'!K33</f>
        <v>-7978</v>
      </c>
      <c r="K36" s="498">
        <f>-'Income Statement'!G19</f>
        <v>-6097.5749999999998</v>
      </c>
      <c r="L36" s="498">
        <f>-'Income Statement'!H19</f>
        <v>-6765</v>
      </c>
      <c r="M36" s="448">
        <f>-'Income Statement'!J19</f>
        <v>-13530</v>
      </c>
      <c r="N36" s="448">
        <f>-'Income Statement'!K19</f>
        <v>-13530</v>
      </c>
      <c r="O36" s="448">
        <f>-'Income Statement'!L19</f>
        <v>-13530</v>
      </c>
      <c r="P36" s="406">
        <f>-'Income Statement'!M19</f>
        <v>-13530</v>
      </c>
      <c r="Q36" s="298"/>
    </row>
    <row r="37" spans="2:18" x14ac:dyDescent="0.2">
      <c r="B37" s="298" t="s">
        <v>969</v>
      </c>
      <c r="C37" s="298"/>
      <c r="D37" s="298"/>
      <c r="E37" s="298"/>
      <c r="F37" s="298"/>
      <c r="G37" s="298"/>
      <c r="I37" s="330">
        <f>-(I35+I36)*Assumptions!$B$8</f>
        <v>-7192.15</v>
      </c>
      <c r="J37" s="330">
        <f>-(J35+J36)*Assumptions!$B$8</f>
        <v>-12992.349999999999</v>
      </c>
      <c r="K37" s="499">
        <f ca="1">-(K35+K36)*Assumptions!$B$8</f>
        <v>-4137.9228120128901</v>
      </c>
      <c r="L37" s="499">
        <f ca="1">-(L35+L36)*Assumptions!$B$8</f>
        <v>-2854.0101533865468</v>
      </c>
      <c r="M37" s="503">
        <f ca="1">-(M35+M36)*Assumptions!$B$8</f>
        <v>-9053.5962934397612</v>
      </c>
      <c r="N37" s="503">
        <f ca="1">-(N35+N36)*Assumptions!$B$8</f>
        <v>-12053.995642239763</v>
      </c>
      <c r="O37" s="503">
        <f ca="1">-(O35+O36)*Assumptions!$B$8</f>
        <v>-15573.49726323176</v>
      </c>
      <c r="P37" s="330">
        <f ca="1">-(P35+P36)*Assumptions!$B$8</f>
        <v>-19133.689003019706</v>
      </c>
      <c r="Q37" s="298"/>
    </row>
    <row r="38" spans="2:18" x14ac:dyDescent="0.2">
      <c r="B38" s="298" t="s">
        <v>86</v>
      </c>
      <c r="C38" s="298"/>
      <c r="D38" s="298"/>
      <c r="E38" s="298"/>
      <c r="F38" s="298"/>
      <c r="G38" s="298"/>
      <c r="I38" s="331">
        <f t="shared" ref="I38:P38" si="3">SUM(I35:I37)</f>
        <v>13356.85</v>
      </c>
      <c r="J38" s="331">
        <f t="shared" si="3"/>
        <v>24128.65</v>
      </c>
      <c r="K38" s="501">
        <f t="shared" ca="1" si="3"/>
        <v>7684.7137937382249</v>
      </c>
      <c r="L38" s="501">
        <f t="shared" ca="1" si="3"/>
        <v>5300.3045705750155</v>
      </c>
      <c r="M38" s="504">
        <f t="shared" ca="1" si="3"/>
        <v>16813.8216878167</v>
      </c>
      <c r="N38" s="504">
        <f t="shared" ca="1" si="3"/>
        <v>22385.991907016705</v>
      </c>
      <c r="O38" s="504">
        <f t="shared" ca="1" si="3"/>
        <v>28922.209203144703</v>
      </c>
      <c r="P38" s="331">
        <f t="shared" ca="1" si="3"/>
        <v>35533.993862750882</v>
      </c>
      <c r="Q38" s="298"/>
    </row>
    <row r="39" spans="2:18" x14ac:dyDescent="0.2">
      <c r="B39" s="298"/>
      <c r="C39" s="298"/>
      <c r="D39" s="298"/>
      <c r="E39" s="298"/>
      <c r="F39" s="298"/>
      <c r="G39" s="298"/>
      <c r="H39" s="298"/>
      <c r="I39" s="298"/>
      <c r="J39" s="298"/>
      <c r="K39" s="298"/>
      <c r="L39" s="298"/>
      <c r="M39" s="131"/>
      <c r="N39" s="131"/>
      <c r="O39" s="298"/>
      <c r="P39" s="298"/>
      <c r="Q39" s="298"/>
      <c r="R39" s="298"/>
    </row>
    <row r="40" spans="2:18" x14ac:dyDescent="0.2">
      <c r="B40" s="80" t="s">
        <v>562</v>
      </c>
      <c r="C40" s="298"/>
      <c r="D40" s="298"/>
      <c r="E40" s="298"/>
      <c r="F40" s="298"/>
      <c r="G40" s="298"/>
      <c r="H40" s="298"/>
      <c r="I40" s="462"/>
      <c r="J40" s="454"/>
      <c r="K40" s="408">
        <v>37073</v>
      </c>
      <c r="L40" s="409">
        <v>37256</v>
      </c>
      <c r="M40" s="409">
        <v>37621</v>
      </c>
      <c r="N40" s="409">
        <v>37986</v>
      </c>
      <c r="O40" s="409">
        <v>38352</v>
      </c>
      <c r="P40" s="409">
        <v>38717</v>
      </c>
      <c r="Q40" s="410">
        <v>38718</v>
      </c>
      <c r="R40" s="298"/>
    </row>
    <row r="41" spans="2:18" x14ac:dyDescent="0.2">
      <c r="B41" s="298"/>
      <c r="C41" s="298"/>
      <c r="D41" s="298"/>
      <c r="E41" s="298"/>
      <c r="F41" s="298"/>
      <c r="G41" s="298"/>
      <c r="H41" s="298"/>
      <c r="I41" s="298"/>
      <c r="J41" s="298"/>
      <c r="K41" s="298"/>
      <c r="L41" s="298"/>
      <c r="M41" s="131"/>
      <c r="N41" s="131"/>
      <c r="O41" s="131"/>
      <c r="P41" s="131"/>
      <c r="Q41" s="298"/>
      <c r="R41" s="298"/>
    </row>
    <row r="42" spans="2:18" x14ac:dyDescent="0.2">
      <c r="B42" s="298" t="s">
        <v>107</v>
      </c>
      <c r="C42" s="298"/>
      <c r="D42" s="298"/>
      <c r="E42" s="298"/>
      <c r="F42" s="298"/>
      <c r="G42" s="298"/>
      <c r="H42" s="298"/>
      <c r="I42" s="298"/>
      <c r="J42" s="298"/>
      <c r="K42" s="298"/>
      <c r="L42" s="405">
        <f ca="1">+L32</f>
        <v>16764.354666666666</v>
      </c>
      <c r="M42" s="405">
        <f ca="1">+M32</f>
        <v>43104.164533333336</v>
      </c>
      <c r="N42" s="405">
        <f ca="1">+N32</f>
        <v>51693.400768000007</v>
      </c>
      <c r="O42" s="405">
        <f ca="1">+O32</f>
        <v>61765.786351786672</v>
      </c>
      <c r="P42" s="405">
        <f ca="1">+P32</f>
        <v>71954.429417847467</v>
      </c>
      <c r="Q42" s="298"/>
      <c r="R42" s="298"/>
    </row>
    <row r="43" spans="2:18" x14ac:dyDescent="0.2">
      <c r="B43" s="298" t="s">
        <v>609</v>
      </c>
      <c r="C43" s="298"/>
      <c r="D43" s="298"/>
      <c r="E43" s="298"/>
      <c r="F43" s="298"/>
      <c r="G43" s="298"/>
      <c r="H43" s="298"/>
      <c r="I43" s="298"/>
      <c r="J43" s="298"/>
      <c r="K43" s="298"/>
      <c r="L43" s="330">
        <f ca="1">L34</f>
        <v>-1845.0399427051036</v>
      </c>
      <c r="M43" s="330">
        <f ca="1">M34</f>
        <v>-3706.7465520768742</v>
      </c>
      <c r="N43" s="330">
        <f ca="1">N34</f>
        <v>-3723.4132187435407</v>
      </c>
      <c r="O43" s="330">
        <f ca="1">O34</f>
        <v>-3740.0798854102072</v>
      </c>
      <c r="P43" s="330">
        <f ca="1">P34</f>
        <v>-3756.7465520768742</v>
      </c>
      <c r="Q43" s="298"/>
      <c r="R43" s="298"/>
    </row>
    <row r="44" spans="2:18" x14ac:dyDescent="0.2">
      <c r="B44" s="298" t="s">
        <v>82</v>
      </c>
      <c r="C44" s="298"/>
      <c r="D44" s="298"/>
      <c r="E44" s="298"/>
      <c r="F44" s="298"/>
      <c r="G44" s="298"/>
      <c r="H44" s="298"/>
      <c r="I44" s="298"/>
      <c r="J44" s="298"/>
      <c r="K44" s="298"/>
      <c r="L44" s="405">
        <f ca="1">+L42+L43</f>
        <v>14919.314723961563</v>
      </c>
      <c r="M44" s="405">
        <f ca="1">+M42+M43</f>
        <v>39397.417981256462</v>
      </c>
      <c r="N44" s="405">
        <f ca="1">+N42+N43</f>
        <v>47969.987549256468</v>
      </c>
      <c r="O44" s="405">
        <f ca="1">+O42+O43</f>
        <v>58025.706466376461</v>
      </c>
      <c r="P44" s="405">
        <f ca="1">+P42+P43</f>
        <v>68197.682865770592</v>
      </c>
      <c r="Q44" s="298"/>
      <c r="R44" s="298"/>
    </row>
    <row r="45" spans="2:18" x14ac:dyDescent="0.2">
      <c r="B45" s="298" t="s">
        <v>239</v>
      </c>
      <c r="C45" s="298"/>
      <c r="D45" s="298"/>
      <c r="E45" s="298"/>
      <c r="F45" s="298"/>
      <c r="G45" s="298"/>
      <c r="H45" s="298"/>
      <c r="I45" s="298"/>
      <c r="J45" s="298"/>
      <c r="K45" s="298"/>
      <c r="L45" s="406">
        <f ca="1">-L44*Assumptions!$B$8</f>
        <v>-5221.7601533865463</v>
      </c>
      <c r="M45" s="406">
        <f ca="1">-M44*Assumptions!$B$8</f>
        <v>-13789.096293439761</v>
      </c>
      <c r="N45" s="406">
        <f ca="1">-N44*Assumptions!$B$8</f>
        <v>-16789.495642239763</v>
      </c>
      <c r="O45" s="406">
        <f ca="1">-O44*Assumptions!$B$8</f>
        <v>-20308.997263231759</v>
      </c>
      <c r="P45" s="406">
        <f ca="1">-P44*Assumptions!$B$8</f>
        <v>-23869.189003019706</v>
      </c>
      <c r="Q45" s="298"/>
      <c r="R45" s="298"/>
    </row>
    <row r="46" spans="2:18" x14ac:dyDescent="0.2">
      <c r="B46" s="298" t="s">
        <v>446</v>
      </c>
      <c r="C46" s="298"/>
      <c r="D46" s="298"/>
      <c r="E46" s="298"/>
      <c r="F46" s="298"/>
      <c r="G46" s="298"/>
      <c r="H46" s="298"/>
      <c r="I46" s="298"/>
      <c r="J46" s="298"/>
      <c r="K46" s="298"/>
      <c r="L46" s="330">
        <f ca="1">(DAYS360($K$40,$L$40)/365)*Dep!F106</f>
        <v>1807.102452971814</v>
      </c>
      <c r="M46" s="330">
        <f ca="1">Dep!G106</f>
        <v>6538.7161234517298</v>
      </c>
      <c r="N46" s="330">
        <f ca="1">Dep!H106</f>
        <v>4616.3306505725386</v>
      </c>
      <c r="O46" s="330">
        <f ca="1">Dep!I106</f>
        <v>3241.5265032778789</v>
      </c>
      <c r="P46" s="330">
        <f ca="1">Dep!J106</f>
        <v>2261.0509104040812</v>
      </c>
      <c r="Q46" s="298"/>
      <c r="R46" s="298"/>
    </row>
    <row r="47" spans="2:18" x14ac:dyDescent="0.2">
      <c r="B47" s="298" t="s">
        <v>447</v>
      </c>
      <c r="C47" s="298"/>
      <c r="D47" s="298"/>
      <c r="E47" s="298"/>
      <c r="F47" s="298"/>
      <c r="G47" s="298"/>
      <c r="H47" s="298"/>
      <c r="I47" s="298"/>
      <c r="J47" s="298"/>
      <c r="K47" s="298"/>
      <c r="L47" s="405">
        <f ca="1">+L44+L45+L46</f>
        <v>11504.65702354683</v>
      </c>
      <c r="M47" s="405">
        <f ca="1">+M44+M45+M46</f>
        <v>32147.03781126843</v>
      </c>
      <c r="N47" s="405">
        <f ca="1">+N44+N45+N46</f>
        <v>35796.822557589243</v>
      </c>
      <c r="O47" s="405">
        <f ca="1">+O44+O45+O46</f>
        <v>40958.23570642258</v>
      </c>
      <c r="P47" s="405">
        <f ca="1">+P44+P45+P46</f>
        <v>46589.544773154965</v>
      </c>
      <c r="Q47" s="298"/>
      <c r="R47" s="298"/>
    </row>
    <row r="48" spans="2:18" x14ac:dyDescent="0.2">
      <c r="B48" s="298" t="s">
        <v>608</v>
      </c>
      <c r="C48" s="298"/>
      <c r="D48" s="298"/>
      <c r="E48" s="298"/>
      <c r="F48" s="298"/>
      <c r="G48" s="298"/>
      <c r="H48" s="298"/>
      <c r="I48" s="298"/>
      <c r="J48" s="298"/>
      <c r="K48" s="298"/>
      <c r="L48" s="330">
        <f ca="1">-L34</f>
        <v>1845.0399427051036</v>
      </c>
      <c r="M48" s="330">
        <f ca="1">-M34</f>
        <v>3706.7465520768742</v>
      </c>
      <c r="N48" s="330">
        <f ca="1">-N34</f>
        <v>3723.4132187435407</v>
      </c>
      <c r="O48" s="330">
        <f ca="1">-O34</f>
        <v>3740.0798854102072</v>
      </c>
      <c r="P48" s="330">
        <f ca="1">-P34</f>
        <v>3756.7465520768742</v>
      </c>
      <c r="Q48" s="298"/>
      <c r="R48" s="298"/>
    </row>
    <row r="49" spans="2:18" x14ac:dyDescent="0.2">
      <c r="B49" s="298" t="s">
        <v>448</v>
      </c>
      <c r="C49" s="298"/>
      <c r="D49" s="298"/>
      <c r="E49" s="298"/>
      <c r="F49" s="298"/>
      <c r="G49" s="298"/>
      <c r="H49" s="298"/>
      <c r="I49" s="298"/>
      <c r="J49" s="298"/>
      <c r="K49" s="298"/>
      <c r="L49" s="405">
        <f ca="1">SUM(L47:L48)</f>
        <v>13349.696966251933</v>
      </c>
      <c r="M49" s="405">
        <f ca="1">SUM(M47:M48)</f>
        <v>35853.784363345301</v>
      </c>
      <c r="N49" s="405">
        <f ca="1">SUM(N47:N48)</f>
        <v>39520.235776332782</v>
      </c>
      <c r="O49" s="405">
        <f ca="1">SUM(O47:O48)</f>
        <v>44698.31559183279</v>
      </c>
      <c r="P49" s="405">
        <f ca="1">SUM(P47:P48)</f>
        <v>50346.291325231839</v>
      </c>
      <c r="Q49" s="298"/>
      <c r="R49" s="298"/>
    </row>
    <row r="50" spans="2:18" x14ac:dyDescent="0.2">
      <c r="B50" s="298" t="s">
        <v>579</v>
      </c>
      <c r="C50" s="298"/>
      <c r="D50" s="298"/>
      <c r="E50" s="298"/>
      <c r="F50" s="298"/>
      <c r="G50" s="298"/>
      <c r="H50" s="411"/>
      <c r="I50" s="411"/>
      <c r="J50" s="411"/>
      <c r="K50" s="411"/>
      <c r="L50" s="406">
        <f ca="1">+L62</f>
        <v>48758.984906966041</v>
      </c>
      <c r="M50" s="406">
        <f ca="1">+M62</f>
        <v>24554.747095472121</v>
      </c>
      <c r="N50" s="406">
        <f ca="1">+N62</f>
        <v>302.23766201583203</v>
      </c>
      <c r="O50" s="406">
        <f ca="1">+O62</f>
        <v>-5843.9169826518628</v>
      </c>
      <c r="P50" s="406">
        <f ca="1">+P62</f>
        <v>-5238.1391369965277</v>
      </c>
      <c r="Q50" s="298"/>
      <c r="R50" s="298"/>
    </row>
    <row r="51" spans="2:18" x14ac:dyDescent="0.2">
      <c r="B51" s="298" t="s">
        <v>449</v>
      </c>
      <c r="C51" s="298"/>
      <c r="D51" s="298"/>
      <c r="E51" s="298"/>
      <c r="F51" s="298"/>
      <c r="G51" s="298"/>
      <c r="H51" s="298"/>
      <c r="I51" s="298"/>
      <c r="J51" s="458"/>
      <c r="K51" s="298"/>
      <c r="L51" s="406">
        <f>-Assumptions!$B$21/2</f>
        <v>-250</v>
      </c>
      <c r="M51" s="406">
        <f>-Assumptions!$B$21</f>
        <v>-500</v>
      </c>
      <c r="N51" s="406">
        <f>-Assumptions!$B$21</f>
        <v>-500</v>
      </c>
      <c r="O51" s="406">
        <f>-Assumptions!$B$21</f>
        <v>-500</v>
      </c>
      <c r="P51" s="406">
        <f>-Assumptions!$B$21</f>
        <v>-500</v>
      </c>
      <c r="Q51" s="298"/>
      <c r="R51" s="298"/>
    </row>
    <row r="52" spans="2:18" x14ac:dyDescent="0.2">
      <c r="B52" s="298" t="s">
        <v>845</v>
      </c>
      <c r="C52" s="298"/>
      <c r="D52" s="298"/>
      <c r="E52" s="298"/>
      <c r="F52" s="298"/>
      <c r="G52" s="298"/>
      <c r="H52" s="298"/>
      <c r="I52" s="298"/>
      <c r="J52" s="458"/>
      <c r="K52" s="298"/>
      <c r="L52" s="330">
        <f>-Assumptions!B47*1000</f>
        <v>-10000</v>
      </c>
      <c r="M52" s="330">
        <v>0</v>
      </c>
      <c r="N52" s="330">
        <v>0</v>
      </c>
      <c r="O52" s="330">
        <v>0</v>
      </c>
      <c r="P52" s="330">
        <v>0</v>
      </c>
      <c r="Q52" s="298"/>
      <c r="R52" s="298"/>
    </row>
    <row r="53" spans="2:18" x14ac:dyDescent="0.2">
      <c r="B53" s="298" t="s">
        <v>95</v>
      </c>
      <c r="C53" s="298"/>
      <c r="D53" s="298"/>
      <c r="E53" s="298"/>
      <c r="F53" s="298"/>
      <c r="G53" s="298"/>
      <c r="H53" s="298"/>
      <c r="I53" s="225">
        <v>0</v>
      </c>
      <c r="J53" s="225"/>
      <c r="K53" s="455">
        <v>0</v>
      </c>
      <c r="L53" s="331">
        <f ca="1">+SUM(L49:L52)</f>
        <v>51858.681873217974</v>
      </c>
      <c r="M53" s="331">
        <f ca="1">+SUM(M49:M51)</f>
        <v>59908.531458817422</v>
      </c>
      <c r="N53" s="331">
        <f ca="1">+SUM(N49:N51)</f>
        <v>39322.473438348614</v>
      </c>
      <c r="O53" s="331">
        <f ca="1">+SUM(O49:O51)</f>
        <v>38354.398609180927</v>
      </c>
      <c r="P53" s="331">
        <f ca="1">+SUM(P49:P51)</f>
        <v>44608.152188235312</v>
      </c>
      <c r="Q53" s="331">
        <f ca="1">($P$42-$P$27)*$E$58</f>
        <v>449726.57650708477</v>
      </c>
      <c r="R53" s="298"/>
    </row>
    <row r="54" spans="2:18" x14ac:dyDescent="0.2">
      <c r="B54" s="298"/>
      <c r="C54" s="298"/>
      <c r="D54" s="298"/>
      <c r="E54" s="298"/>
      <c r="F54" s="298"/>
      <c r="G54" s="298"/>
      <c r="H54" s="298"/>
      <c r="I54" s="715"/>
      <c r="J54" s="225"/>
      <c r="K54" s="776"/>
      <c r="L54" s="331"/>
      <c r="M54" s="331"/>
      <c r="N54" s="331"/>
      <c r="O54" s="331"/>
      <c r="P54" s="331"/>
      <c r="Q54" s="331"/>
      <c r="R54" s="298"/>
    </row>
    <row r="55" spans="2:18" x14ac:dyDescent="0.2">
      <c r="B55" s="298"/>
      <c r="C55" s="298"/>
      <c r="D55" s="298"/>
      <c r="E55" s="298"/>
      <c r="F55" s="298"/>
      <c r="G55" s="298"/>
      <c r="H55" s="298"/>
      <c r="I55" s="298"/>
      <c r="J55" s="298"/>
      <c r="K55" s="777"/>
      <c r="L55" s="722"/>
      <c r="M55" s="722"/>
      <c r="N55" s="722"/>
      <c r="O55" s="722"/>
      <c r="P55" s="722"/>
      <c r="Q55" s="722"/>
      <c r="R55" s="298"/>
    </row>
    <row r="56" spans="2:18" x14ac:dyDescent="0.2">
      <c r="B56" s="412" t="s">
        <v>286</v>
      </c>
      <c r="C56" s="298"/>
      <c r="D56" s="298"/>
      <c r="E56" s="413">
        <f ca="1">XNPV(E57,K53:Q53,K40:Q40)</f>
        <v>466195.40783560427</v>
      </c>
      <c r="F56" s="298"/>
      <c r="G56" s="298"/>
      <c r="H56" s="298"/>
      <c r="I56" s="298"/>
      <c r="J56" s="298"/>
      <c r="K56" s="456" t="s">
        <v>603</v>
      </c>
      <c r="L56" s="456" t="s">
        <v>599</v>
      </c>
      <c r="M56" s="456"/>
      <c r="N56" s="298"/>
      <c r="O56" s="298"/>
      <c r="P56" s="298"/>
      <c r="Q56" s="298"/>
      <c r="R56" s="298"/>
    </row>
    <row r="57" spans="2:18" x14ac:dyDescent="0.2">
      <c r="B57" s="412" t="s">
        <v>382</v>
      </c>
      <c r="C57" s="298"/>
      <c r="D57" s="298"/>
      <c r="E57" s="414">
        <f>Assumptions!B6</f>
        <v>0.11</v>
      </c>
      <c r="F57" s="298"/>
      <c r="G57" s="298"/>
      <c r="H57" s="298"/>
      <c r="I57" s="399"/>
      <c r="J57" s="399"/>
      <c r="K57" s="400">
        <v>2001</v>
      </c>
      <c r="L57" s="401">
        <v>2001</v>
      </c>
      <c r="M57" s="402">
        <v>2002</v>
      </c>
      <c r="N57" s="402">
        <v>2003</v>
      </c>
      <c r="O57" s="402">
        <v>2004</v>
      </c>
      <c r="P57" s="403">
        <v>2005</v>
      </c>
      <c r="Q57" s="298"/>
    </row>
    <row r="58" spans="2:18" ht="15" x14ac:dyDescent="0.35">
      <c r="B58" s="412" t="s">
        <v>383</v>
      </c>
      <c r="C58" s="298"/>
      <c r="D58" s="298"/>
      <c r="E58" s="415">
        <f>Assumptions!B7</f>
        <v>6</v>
      </c>
      <c r="F58" s="298"/>
      <c r="G58" s="298"/>
      <c r="H58" s="298"/>
      <c r="I58" s="298"/>
      <c r="J58" s="298"/>
      <c r="K58" s="298"/>
      <c r="L58" s="87"/>
      <c r="M58" s="298"/>
      <c r="N58" s="298"/>
      <c r="O58" s="298"/>
      <c r="P58" s="298"/>
      <c r="Q58" s="298"/>
    </row>
    <row r="59" spans="2:18" x14ac:dyDescent="0.2">
      <c r="B59" s="412" t="s">
        <v>421</v>
      </c>
      <c r="C59" s="298"/>
      <c r="D59" s="298"/>
      <c r="E59" s="413">
        <f ca="1">E56-'S &amp; U'!J14*1000</f>
        <v>285795.40783560427</v>
      </c>
      <c r="F59" s="298"/>
      <c r="G59" s="298" t="s">
        <v>584</v>
      </c>
      <c r="H59" s="298"/>
      <c r="I59" s="425"/>
      <c r="J59" s="425"/>
      <c r="K59" s="425">
        <f ca="1">+'Balance Sheet'!I45</f>
        <v>570927.47923397727</v>
      </c>
      <c r="L59" s="425">
        <f ca="1">+'Balance Sheet'!J45</f>
        <v>513694.47045117349</v>
      </c>
      <c r="M59" s="425">
        <f ca="1">+'Balance Sheet'!K45</f>
        <v>503848.58313786366</v>
      </c>
      <c r="N59" s="425">
        <f ca="1">+'Balance Sheet'!L45</f>
        <v>510698.66044006398</v>
      </c>
      <c r="O59" s="425">
        <f ca="1">+'Balance Sheet'!M45</f>
        <v>529061.9339050327</v>
      </c>
      <c r="P59" s="425">
        <f ca="1">+'Balance Sheet'!N45</f>
        <v>546549.23218494654</v>
      </c>
      <c r="Q59" s="298"/>
    </row>
    <row r="60" spans="2:18" x14ac:dyDescent="0.2">
      <c r="B60" s="412" t="s">
        <v>427</v>
      </c>
      <c r="C60" s="298"/>
      <c r="D60" s="298"/>
      <c r="E60" s="414">
        <f ca="1">E59/'Balance Sheet'!$F$37</f>
        <v>2.3249575581501265</v>
      </c>
      <c r="F60" s="298"/>
      <c r="G60" s="298" t="s">
        <v>585</v>
      </c>
      <c r="H60" s="298"/>
      <c r="I60" s="457"/>
      <c r="J60" s="457"/>
      <c r="K60" s="457">
        <f ca="1">+'Balance Sheet'!I46</f>
        <v>-383633.27284789272</v>
      </c>
      <c r="L60" s="457">
        <f ca="1">+'Balance Sheet'!J46</f>
        <v>-375159.24897205498</v>
      </c>
      <c r="M60" s="457">
        <f ca="1">+'Balance Sheet'!K46</f>
        <v>-389868.10875421728</v>
      </c>
      <c r="N60" s="457">
        <f ca="1">+'Balance Sheet'!L46</f>
        <v>-397020.42371843342</v>
      </c>
      <c r="O60" s="457">
        <f ca="1">+'Balance Sheet'!M46</f>
        <v>-409539.78020075028</v>
      </c>
      <c r="P60" s="457">
        <f ca="1">+'Balance Sheet'!N46</f>
        <v>-421788.93934366759</v>
      </c>
      <c r="Q60" s="298"/>
    </row>
    <row r="61" spans="2:18" x14ac:dyDescent="0.2">
      <c r="B61" s="298"/>
      <c r="C61" s="298"/>
      <c r="D61" s="298"/>
      <c r="E61" s="298"/>
      <c r="F61" s="298"/>
      <c r="G61" s="298" t="s">
        <v>586</v>
      </c>
      <c r="H61" s="298"/>
      <c r="I61" s="425"/>
      <c r="J61" s="425"/>
      <c r="K61" s="425">
        <f t="shared" ref="K61:P61" ca="1" si="4">+K59+K60</f>
        <v>187294.20638608455</v>
      </c>
      <c r="L61" s="425">
        <f t="shared" ca="1" si="4"/>
        <v>138535.22147911851</v>
      </c>
      <c r="M61" s="425">
        <f t="shared" ca="1" si="4"/>
        <v>113980.47438364639</v>
      </c>
      <c r="N61" s="425">
        <f t="shared" ca="1" si="4"/>
        <v>113678.23672163056</v>
      </c>
      <c r="O61" s="425">
        <f t="shared" ca="1" si="4"/>
        <v>119522.15370428242</v>
      </c>
      <c r="P61" s="425">
        <f t="shared" ca="1" si="4"/>
        <v>124760.29284127895</v>
      </c>
      <c r="Q61" s="298"/>
    </row>
    <row r="62" spans="2:18" x14ac:dyDescent="0.2">
      <c r="B62" s="412"/>
      <c r="C62" s="298"/>
      <c r="D62" s="298"/>
      <c r="E62" s="298"/>
      <c r="F62" s="298"/>
      <c r="G62" s="80" t="s">
        <v>587</v>
      </c>
      <c r="H62" s="80"/>
      <c r="I62" s="80"/>
      <c r="J62" s="426"/>
      <c r="K62" s="426"/>
      <c r="L62" s="426">
        <f ca="1">-(L61-K61)</f>
        <v>48758.984906966041</v>
      </c>
      <c r="M62" s="426">
        <f ca="1">-(M61-L61)</f>
        <v>24554.747095472121</v>
      </c>
      <c r="N62" s="426">
        <f ca="1">-(N61-M61)</f>
        <v>302.23766201583203</v>
      </c>
      <c r="O62" s="426">
        <f ca="1">-(O61-N61)</f>
        <v>-5843.9169826518628</v>
      </c>
      <c r="P62" s="426">
        <f ca="1">-(P61-O61)</f>
        <v>-5238.1391369965277</v>
      </c>
      <c r="Q62" s="298"/>
    </row>
    <row r="64" spans="2:18" x14ac:dyDescent="0.2">
      <c r="B64" s="412" t="s">
        <v>843</v>
      </c>
    </row>
    <row r="67" spans="7:15" x14ac:dyDescent="0.2">
      <c r="G67" t="s">
        <v>86</v>
      </c>
      <c r="I67" s="76">
        <f t="shared" ref="I67:O67" si="5">I38</f>
        <v>13356.85</v>
      </c>
      <c r="J67" s="76">
        <f t="shared" si="5"/>
        <v>24128.65</v>
      </c>
      <c r="K67" s="76">
        <f t="shared" ca="1" si="5"/>
        <v>7684.7137937382249</v>
      </c>
      <c r="L67" s="76">
        <f t="shared" ca="1" si="5"/>
        <v>5300.3045705750155</v>
      </c>
      <c r="M67" s="76">
        <f t="shared" ca="1" si="5"/>
        <v>16813.8216878167</v>
      </c>
      <c r="N67" s="76">
        <f t="shared" ca="1" si="5"/>
        <v>22385.991907016705</v>
      </c>
      <c r="O67" s="76">
        <f t="shared" ca="1" si="5"/>
        <v>28922.209203144703</v>
      </c>
    </row>
    <row r="68" spans="7:15" x14ac:dyDescent="0.2">
      <c r="G68" t="s">
        <v>836</v>
      </c>
      <c r="I68" s="76">
        <f>-I34</f>
        <v>2146</v>
      </c>
      <c r="J68" s="76">
        <f>-J34</f>
        <v>3300</v>
      </c>
      <c r="K68" s="76">
        <f ca="1">-K34</f>
        <v>1332.9317275822159</v>
      </c>
      <c r="L68" s="76">
        <f ca="1">L48</f>
        <v>1845.0399427051036</v>
      </c>
      <c r="M68" s="76">
        <f ca="1">-M34</f>
        <v>3706.7465520768742</v>
      </c>
      <c r="N68" s="76">
        <f ca="1">-N34</f>
        <v>3723.4132187435407</v>
      </c>
      <c r="O68" s="76">
        <f ca="1">-O34</f>
        <v>3740.0798854102072</v>
      </c>
    </row>
    <row r="69" spans="7:15" x14ac:dyDescent="0.2">
      <c r="G69" t="s">
        <v>590</v>
      </c>
      <c r="I69" s="76">
        <f>'Cash Flow '!E11</f>
        <v>-955</v>
      </c>
      <c r="J69" s="76">
        <f>'Cash Flow '!F11</f>
        <v>0</v>
      </c>
      <c r="K69" s="76">
        <f ca="1">L69</f>
        <v>1807.102452971814</v>
      </c>
      <c r="L69" s="76">
        <f ca="1">L46</f>
        <v>1807.102452971814</v>
      </c>
      <c r="M69" s="76">
        <f ca="1">M46</f>
        <v>6538.7161234517298</v>
      </c>
      <c r="N69" s="76">
        <f ca="1">N46</f>
        <v>4616.3306505725386</v>
      </c>
      <c r="O69" s="76">
        <f ca="1">O46</f>
        <v>3241.5265032778789</v>
      </c>
    </row>
    <row r="70" spans="7:15" x14ac:dyDescent="0.2">
      <c r="G70" t="s">
        <v>837</v>
      </c>
      <c r="I70" s="704">
        <f>'Cash Flow '!E25</f>
        <v>-12361</v>
      </c>
      <c r="J70" s="704">
        <f>'Cash Flow '!F25</f>
        <v>-8000</v>
      </c>
      <c r="K70" s="76">
        <f>L70</f>
        <v>-250</v>
      </c>
      <c r="L70" s="76">
        <f>L51</f>
        <v>-250</v>
      </c>
      <c r="M70" s="76">
        <f>M51</f>
        <v>-500</v>
      </c>
      <c r="N70" s="76">
        <f>N51</f>
        <v>-500</v>
      </c>
      <c r="O70" s="76">
        <f>O51</f>
        <v>-500</v>
      </c>
    </row>
    <row r="71" spans="7:15" x14ac:dyDescent="0.2">
      <c r="G71" t="s">
        <v>402</v>
      </c>
      <c r="I71" s="76">
        <f t="shared" ref="I71:O71" si="6">SUM(I67:I70)</f>
        <v>2186.8500000000004</v>
      </c>
      <c r="J71" s="76">
        <f t="shared" si="6"/>
        <v>19428.650000000001</v>
      </c>
      <c r="K71" s="76">
        <f t="shared" ca="1" si="6"/>
        <v>10574.747974292255</v>
      </c>
      <c r="L71" s="76">
        <f t="shared" ca="1" si="6"/>
        <v>8702.4469662519332</v>
      </c>
      <c r="M71" s="76">
        <f t="shared" ca="1" si="6"/>
        <v>26559.284363345305</v>
      </c>
      <c r="N71" s="76">
        <f t="shared" ca="1" si="6"/>
        <v>30225.735776332785</v>
      </c>
      <c r="O71" s="76">
        <f t="shared" ca="1" si="6"/>
        <v>35403.81559183279</v>
      </c>
    </row>
    <row r="72" spans="7:15" x14ac:dyDescent="0.2">
      <c r="G72" t="s">
        <v>107</v>
      </c>
      <c r="I72" s="76">
        <f t="shared" ref="I72:O72" si="7">I32</f>
        <v>25843</v>
      </c>
      <c r="J72" s="76">
        <f t="shared" si="7"/>
        <v>48399</v>
      </c>
      <c r="K72" s="76">
        <f t="shared" ca="1" si="7"/>
        <v>19253.143333333333</v>
      </c>
      <c r="L72" s="76">
        <f t="shared" ca="1" si="7"/>
        <v>16764.354666666666</v>
      </c>
      <c r="M72" s="76">
        <f t="shared" ca="1" si="7"/>
        <v>43104.164533333336</v>
      </c>
      <c r="N72" s="76">
        <f t="shared" ca="1" si="7"/>
        <v>51693.400768000007</v>
      </c>
      <c r="O72" s="76">
        <f t="shared" ca="1" si="7"/>
        <v>61765.786351786672</v>
      </c>
    </row>
    <row r="73" spans="7:15" x14ac:dyDescent="0.2">
      <c r="I73" s="76"/>
      <c r="J73" s="76"/>
      <c r="K73" s="76"/>
      <c r="L73" s="76"/>
      <c r="M73" s="76"/>
      <c r="N73" s="76"/>
      <c r="O73" s="76"/>
    </row>
    <row r="74" spans="7:15" x14ac:dyDescent="0.2">
      <c r="G74" t="s">
        <v>676</v>
      </c>
      <c r="I74" s="76">
        <f ca="1">'Sea-3 NH '!G22+'Sea-3 Tampa'!G21</f>
        <v>5522.4327999999987</v>
      </c>
      <c r="J74" s="76">
        <f>'Sea-3 NH '!H22+'Sea-3 Tampa'!H21</f>
        <v>6837.0775999999987</v>
      </c>
      <c r="K74" s="76">
        <f ca="1">'Sea-3 NH '!I22+'Sea-3 Tampa'!I21</f>
        <v>4472.7223999999997</v>
      </c>
      <c r="L74" s="76">
        <f ca="1">'Sea-3 NH '!J22+'Sea-3 Tampa'!J21</f>
        <v>4430.0600000000004</v>
      </c>
      <c r="M74" s="76">
        <f ca="1">'Sea-3 NH '!K22+'Sea-3 Tampa'!K21</f>
        <v>9042.2666666666664</v>
      </c>
      <c r="N74" s="76">
        <f ca="1">'Sea-3 NH '!L22+'Sea-3 Tampa'!L21</f>
        <v>7627.4325333333336</v>
      </c>
      <c r="O74" s="76">
        <f ca="1">'Sea-3 NH '!M22+'Sea-3 Tampa'!M21</f>
        <v>7719.2274346666682</v>
      </c>
    </row>
    <row r="75" spans="7:15" x14ac:dyDescent="0.2">
      <c r="G75" t="s">
        <v>838</v>
      </c>
      <c r="I75" s="76">
        <f>'Rail Ops'!G18</f>
        <v>3364</v>
      </c>
      <c r="J75" s="76">
        <f>'Rail Ops'!H18</f>
        <v>3858</v>
      </c>
      <c r="K75" s="76">
        <f>'Rail Ops'!I18</f>
        <v>1726.75</v>
      </c>
      <c r="L75" s="76">
        <f>'Rail Ops'!J18</f>
        <v>1726.75</v>
      </c>
      <c r="M75" s="76">
        <f>'Rail Ops'!K18</f>
        <v>3453.5</v>
      </c>
      <c r="N75" s="76">
        <f>'Rail Ops'!L18</f>
        <v>3425.74</v>
      </c>
      <c r="O75" s="76">
        <f>'Rail Ops'!M18</f>
        <v>3396.8696</v>
      </c>
    </row>
    <row r="77" spans="7:15" x14ac:dyDescent="0.2">
      <c r="G77" t="s">
        <v>666</v>
      </c>
      <c r="I77" s="162">
        <f ca="1">I72-I74-I75</f>
        <v>16956.567200000001</v>
      </c>
      <c r="J77" s="162">
        <f t="shared" ref="J77:O77" si="8">J72-J74-J75</f>
        <v>37703.922400000003</v>
      </c>
      <c r="K77" s="162">
        <f t="shared" ca="1" si="8"/>
        <v>13053.670933333335</v>
      </c>
      <c r="L77" s="162">
        <f t="shared" ca="1" si="8"/>
        <v>10607.544666666665</v>
      </c>
      <c r="M77" s="162">
        <f t="shared" ca="1" si="8"/>
        <v>30608.397866666666</v>
      </c>
      <c r="N77" s="162">
        <f t="shared" ca="1" si="8"/>
        <v>40640.228234666676</v>
      </c>
      <c r="O77" s="162">
        <f t="shared" ca="1" si="8"/>
        <v>50649.689317120006</v>
      </c>
    </row>
  </sheetData>
  <mergeCells count="1">
    <mergeCell ref="L1:Q1"/>
  </mergeCells>
  <printOptions horizontalCentered="1"/>
  <pageMargins left="0.75" right="0.75" top="0.53" bottom="1" header="0.5" footer="0.5"/>
  <pageSetup scale="58" orientation="landscape" verticalDpi="200" r:id="rId1"/>
  <headerFooter alignWithMargins="0">
    <oddFooter>&amp;L&amp;7&amp;D &amp;T&amp;C&amp;8&amp;P&amp;R&amp;7o:/Corpdev/North America/Raul/Ammonia/&amp;F</oddFooter>
  </headerFooter>
  <rowBreaks count="2" manualBreakCount="2">
    <brk id="7" max="16383" man="1"/>
    <brk id="9" max="16383" man="1"/>
  </rowBreak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8"/>
  <sheetViews>
    <sheetView topLeftCell="A13" zoomScaleNormal="100" workbookViewId="0">
      <selection activeCell="B33" sqref="B33"/>
    </sheetView>
  </sheetViews>
  <sheetFormatPr defaultRowHeight="12.75" x14ac:dyDescent="0.2"/>
  <cols>
    <col min="4" max="4" width="11.140625" bestFit="1" customWidth="1"/>
    <col min="5" max="5" width="12.7109375" bestFit="1" customWidth="1"/>
    <col min="6" max="6" width="12" bestFit="1" customWidth="1"/>
    <col min="7" max="7" width="12.5703125" bestFit="1" customWidth="1"/>
    <col min="8" max="10" width="11.28515625" bestFit="1" customWidth="1"/>
    <col min="11" max="11" width="11.5703125" bestFit="1" customWidth="1"/>
    <col min="12" max="14" width="11.28515625" bestFit="1" customWidth="1"/>
  </cols>
  <sheetData>
    <row r="1" spans="1:42" ht="21" thickBot="1" x14ac:dyDescent="0.35">
      <c r="A1" s="365" t="s">
        <v>518</v>
      </c>
      <c r="B1" s="343"/>
      <c r="C1" s="343"/>
      <c r="D1" s="344"/>
      <c r="E1" s="344"/>
      <c r="F1" s="360"/>
      <c r="G1" s="360"/>
      <c r="H1" s="360"/>
      <c r="I1" s="360"/>
      <c r="J1" s="360"/>
      <c r="K1" s="360"/>
      <c r="L1" s="360"/>
      <c r="M1" s="360"/>
      <c r="N1" s="360"/>
      <c r="O1" s="774" t="s">
        <v>942</v>
      </c>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row>
    <row r="2" spans="1:42" ht="26.25" x14ac:dyDescent="0.4">
      <c r="A2" s="358"/>
      <c r="B2" s="338"/>
      <c r="C2" s="338"/>
      <c r="D2" s="337"/>
      <c r="E2" s="337"/>
      <c r="F2" s="359"/>
      <c r="O2" s="786" t="s">
        <v>659</v>
      </c>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row>
    <row r="3" spans="1:42" ht="26.25" x14ac:dyDescent="0.4">
      <c r="A3" s="358"/>
      <c r="B3" s="338"/>
      <c r="C3" s="338"/>
      <c r="D3" s="337"/>
      <c r="E3" s="337"/>
      <c r="F3" s="359"/>
      <c r="O3" s="78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row>
    <row r="4" spans="1:42" ht="26.25" x14ac:dyDescent="0.4">
      <c r="A4" s="358"/>
      <c r="B4" s="338"/>
      <c r="C4" s="338"/>
      <c r="D4" s="337"/>
      <c r="E4" s="337"/>
      <c r="F4" s="359"/>
      <c r="O4" s="78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row>
    <row r="5" spans="1:42" x14ac:dyDescent="0.2">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row>
    <row r="6" spans="1:42" ht="15.75" x14ac:dyDescent="0.25">
      <c r="A6" s="181" t="s">
        <v>149</v>
      </c>
      <c r="D6" s="758">
        <v>37072</v>
      </c>
      <c r="E6" s="758">
        <v>37257</v>
      </c>
      <c r="F6" s="758">
        <v>37622</v>
      </c>
      <c r="G6" s="758">
        <v>37987</v>
      </c>
      <c r="H6" s="758">
        <v>38353</v>
      </c>
      <c r="I6" s="758">
        <v>38718</v>
      </c>
      <c r="J6" s="758">
        <v>39083</v>
      </c>
      <c r="K6" s="758">
        <v>39448</v>
      </c>
      <c r="L6" s="758">
        <v>39814</v>
      </c>
      <c r="M6" s="758">
        <v>40179</v>
      </c>
      <c r="N6" s="758">
        <v>40544</v>
      </c>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row>
    <row r="7" spans="1:42" x14ac:dyDescent="0.2">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row>
    <row r="8" spans="1:42" x14ac:dyDescent="0.2">
      <c r="A8" s="80" t="s">
        <v>935</v>
      </c>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row>
    <row r="9" spans="1:42" x14ac:dyDescent="0.2">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row>
    <row r="10" spans="1:42" x14ac:dyDescent="0.2">
      <c r="A10" t="s">
        <v>939</v>
      </c>
      <c r="D10" s="793">
        <f ca="1">Dep!A66</f>
        <v>79725.903654932961</v>
      </c>
      <c r="E10" s="793">
        <f ca="1">D13</f>
        <v>78642.971927350751</v>
      </c>
      <c r="F10" s="793">
        <f t="shared" ref="F10:N10" ca="1" si="0">E13</f>
        <v>76460.441805519658</v>
      </c>
      <c r="G10" s="793">
        <f t="shared" ca="1" si="0"/>
        <v>74261.245017021894</v>
      </c>
      <c r="H10" s="793">
        <f t="shared" ca="1" si="0"/>
        <v>72045.381561857459</v>
      </c>
      <c r="I10" s="793">
        <f t="shared" ca="1" si="0"/>
        <v>69812.851440026367</v>
      </c>
      <c r="J10" s="793">
        <f t="shared" ca="1" si="0"/>
        <v>67063.654651528603</v>
      </c>
      <c r="K10" s="793">
        <f t="shared" ca="1" si="0"/>
        <v>64297.791196364167</v>
      </c>
      <c r="L10" s="793">
        <f t="shared" ca="1" si="0"/>
        <v>61515.261074533068</v>
      </c>
      <c r="M10" s="793">
        <f t="shared" ca="1" si="0"/>
        <v>58716.064286035304</v>
      </c>
      <c r="N10" s="793">
        <f t="shared" ca="1" si="0"/>
        <v>55900.200830870876</v>
      </c>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row>
    <row r="11" spans="1:42" x14ac:dyDescent="0.2">
      <c r="A11" t="s">
        <v>271</v>
      </c>
      <c r="D11" s="76">
        <f>-'Valuation - DCF'!L51</f>
        <v>250</v>
      </c>
      <c r="E11" s="76">
        <f>-'Valuation - DCF'!M51</f>
        <v>500</v>
      </c>
      <c r="F11" s="76">
        <f>-'Valuation - DCF'!N51</f>
        <v>500</v>
      </c>
      <c r="G11" s="76">
        <f>-'Valuation - DCF'!O51</f>
        <v>500</v>
      </c>
      <c r="H11" s="76">
        <f>-'Valuation - DCF'!P51</f>
        <v>500</v>
      </c>
      <c r="I11" s="76">
        <f>-'Valuation - DCF'!Q51</f>
        <v>0</v>
      </c>
      <c r="J11" s="76">
        <f>-'Valuation - DCF'!R51</f>
        <v>0</v>
      </c>
      <c r="K11" s="76">
        <f>-'Valuation - DCF'!S51</f>
        <v>0</v>
      </c>
      <c r="L11" s="76">
        <f>-'Valuation - DCF'!T51</f>
        <v>0</v>
      </c>
      <c r="M11" s="76">
        <f>-'Valuation - DCF'!U51</f>
        <v>0</v>
      </c>
      <c r="N11" s="76">
        <f>-'Valuation - DCF'!V51</f>
        <v>0</v>
      </c>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row>
    <row r="12" spans="1:42" x14ac:dyDescent="0.2">
      <c r="A12" t="s">
        <v>936</v>
      </c>
      <c r="D12" s="79">
        <f ca="1">-(Dep!F52+Dep!F66)/2</f>
        <v>-1332.9317275822159</v>
      </c>
      <c r="E12" s="79">
        <f ca="1">-(Dep!G52+Dep!G66)</f>
        <v>-2682.5301218310988</v>
      </c>
      <c r="F12" s="79">
        <f ca="1">-(Dep!H52+Dep!H66)</f>
        <v>-2699.1967884977653</v>
      </c>
      <c r="G12" s="79">
        <f ca="1">-(Dep!I52+Dep!I66)</f>
        <v>-2715.8634551644318</v>
      </c>
      <c r="H12" s="79">
        <f ca="1">-(Dep!J52+Dep!J66)</f>
        <v>-2732.5301218310988</v>
      </c>
      <c r="I12" s="79">
        <f ca="1">-(Dep!K52+Dep!K66)</f>
        <v>-2749.1967884977653</v>
      </c>
      <c r="J12" s="79">
        <f ca="1">-(Dep!L52+Dep!L66)</f>
        <v>-2765.8634551644318</v>
      </c>
      <c r="K12" s="79">
        <f ca="1">-(Dep!M52+Dep!M66)</f>
        <v>-2782.5301218310988</v>
      </c>
      <c r="L12" s="79">
        <f ca="1">-(Dep!N52+Dep!N66)</f>
        <v>-2799.1967884977653</v>
      </c>
      <c r="M12" s="79">
        <f ca="1">-(Dep!O52+Dep!O66)</f>
        <v>-2815.8634551644318</v>
      </c>
      <c r="N12" s="79">
        <f ca="1">-(Dep!P52+Dep!P66)</f>
        <v>-2832.5301218310988</v>
      </c>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row>
    <row r="13" spans="1:42" x14ac:dyDescent="0.2">
      <c r="A13" t="s">
        <v>937</v>
      </c>
      <c r="D13" s="793">
        <f t="shared" ref="D13:N13" ca="1" si="1">SUM(D10:D12)</f>
        <v>78642.971927350751</v>
      </c>
      <c r="E13" s="793">
        <f t="shared" ca="1" si="1"/>
        <v>76460.441805519658</v>
      </c>
      <c r="F13" s="793">
        <f t="shared" ca="1" si="1"/>
        <v>74261.245017021894</v>
      </c>
      <c r="G13" s="793">
        <f t="shared" ca="1" si="1"/>
        <v>72045.381561857459</v>
      </c>
      <c r="H13" s="793">
        <f t="shared" ca="1" si="1"/>
        <v>69812.851440026367</v>
      </c>
      <c r="I13" s="793">
        <f t="shared" ca="1" si="1"/>
        <v>67063.654651528603</v>
      </c>
      <c r="J13" s="793">
        <f t="shared" ca="1" si="1"/>
        <v>64297.791196364167</v>
      </c>
      <c r="K13" s="793">
        <f t="shared" ca="1" si="1"/>
        <v>61515.261074533068</v>
      </c>
      <c r="L13" s="793">
        <f t="shared" ca="1" si="1"/>
        <v>58716.064286035304</v>
      </c>
      <c r="M13" s="793">
        <f t="shared" ca="1" si="1"/>
        <v>55900.200830870876</v>
      </c>
      <c r="N13" s="793">
        <f t="shared" ca="1" si="1"/>
        <v>53067.670709039776</v>
      </c>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row>
    <row r="14" spans="1:42" x14ac:dyDescent="0.2">
      <c r="D14" s="793"/>
      <c r="E14" s="793"/>
      <c r="F14" s="793"/>
      <c r="G14" s="793"/>
      <c r="H14" s="793"/>
      <c r="I14" s="793"/>
      <c r="J14" s="793"/>
      <c r="K14" s="793"/>
      <c r="L14" s="793"/>
      <c r="M14" s="793"/>
      <c r="N14" s="793"/>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row>
    <row r="15" spans="1:42" x14ac:dyDescent="0.2">
      <c r="A15" s="80" t="s">
        <v>990</v>
      </c>
      <c r="D15" s="793"/>
      <c r="E15" s="793"/>
      <c r="F15" s="793"/>
      <c r="G15" s="793"/>
      <c r="H15" s="793"/>
      <c r="I15" s="793"/>
      <c r="J15" s="793"/>
      <c r="K15" s="793"/>
      <c r="L15" s="793"/>
      <c r="M15" s="793"/>
      <c r="N15" s="793"/>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row>
    <row r="16" spans="1:42" x14ac:dyDescent="0.2">
      <c r="A16" s="80"/>
      <c r="D16" s="793"/>
      <c r="E16" s="793"/>
      <c r="F16" s="793"/>
      <c r="G16" s="793"/>
      <c r="H16" s="793"/>
      <c r="I16" s="793"/>
      <c r="J16" s="793"/>
      <c r="K16" s="793"/>
      <c r="L16" s="793"/>
      <c r="M16" s="793"/>
      <c r="N16" s="793"/>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row>
    <row r="17" spans="1:42" x14ac:dyDescent="0.2">
      <c r="A17" t="s">
        <v>939</v>
      </c>
      <c r="D17" s="793">
        <f ca="1">Dep!A68</f>
        <v>40968.657209831013</v>
      </c>
      <c r="E17" s="793">
        <f ca="1">D20</f>
        <v>40456.548994708122</v>
      </c>
      <c r="F17" s="793">
        <f t="shared" ref="F17:N17" ca="1" si="2">E20</f>
        <v>39432.332564462347</v>
      </c>
      <c r="G17" s="793">
        <f t="shared" ca="1" si="2"/>
        <v>38408.116134216572</v>
      </c>
      <c r="H17" s="793">
        <f t="shared" ca="1" si="2"/>
        <v>37383.899703970797</v>
      </c>
      <c r="I17" s="793">
        <f t="shared" ca="1" si="2"/>
        <v>36359.683273725022</v>
      </c>
      <c r="J17" s="793">
        <f t="shared" ca="1" si="2"/>
        <v>35335.466843479247</v>
      </c>
      <c r="K17" s="793">
        <f t="shared" ca="1" si="2"/>
        <v>34311.250413233472</v>
      </c>
      <c r="L17" s="793">
        <f t="shared" ca="1" si="2"/>
        <v>33287.033982987698</v>
      </c>
      <c r="M17" s="793">
        <f t="shared" ca="1" si="2"/>
        <v>32262.817552741923</v>
      </c>
      <c r="N17" s="793">
        <f t="shared" ca="1" si="2"/>
        <v>31238.601122496148</v>
      </c>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row>
    <row r="18" spans="1:42" x14ac:dyDescent="0.2">
      <c r="A18" t="s">
        <v>271</v>
      </c>
      <c r="D18" s="76">
        <v>0</v>
      </c>
      <c r="E18" s="76">
        <f>-'Valuation - DCF'!M58</f>
        <v>0</v>
      </c>
      <c r="F18" s="76">
        <f>-'Valuation - DCF'!N58</f>
        <v>0</v>
      </c>
      <c r="G18" s="76">
        <f>-'Valuation - DCF'!O58</f>
        <v>0</v>
      </c>
      <c r="H18" s="76">
        <f>-'Valuation - DCF'!P58</f>
        <v>0</v>
      </c>
      <c r="I18" s="76">
        <f>-'Valuation - DCF'!Q58</f>
        <v>0</v>
      </c>
      <c r="J18" s="76">
        <f>-'Valuation - DCF'!R58</f>
        <v>0</v>
      </c>
      <c r="K18" s="76">
        <f>-'Valuation - DCF'!S58</f>
        <v>0</v>
      </c>
      <c r="L18" s="76">
        <f>-'Valuation - DCF'!T58</f>
        <v>0</v>
      </c>
      <c r="M18" s="76">
        <f>-'Valuation - DCF'!U58</f>
        <v>0</v>
      </c>
      <c r="N18" s="76">
        <f>-'Valuation - DCF'!V58</f>
        <v>0</v>
      </c>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row>
    <row r="19" spans="1:42" x14ac:dyDescent="0.2">
      <c r="A19" t="s">
        <v>936</v>
      </c>
      <c r="D19" s="79">
        <f ca="1">-Dep!F68/2</f>
        <v>-512.10821512288771</v>
      </c>
      <c r="E19" s="79">
        <f ca="1">-Dep!G68</f>
        <v>-1024.2164302457754</v>
      </c>
      <c r="F19" s="79">
        <f ca="1">-Dep!H68</f>
        <v>-1024.2164302457754</v>
      </c>
      <c r="G19" s="79">
        <f ca="1">-Dep!I68</f>
        <v>-1024.2164302457754</v>
      </c>
      <c r="H19" s="79">
        <f ca="1">-Dep!J68</f>
        <v>-1024.2164302457754</v>
      </c>
      <c r="I19" s="79">
        <f ca="1">-Dep!K68</f>
        <v>-1024.2164302457754</v>
      </c>
      <c r="J19" s="79">
        <f ca="1">-Dep!L68</f>
        <v>-1024.2164302457754</v>
      </c>
      <c r="K19" s="79">
        <f ca="1">-Dep!M68</f>
        <v>-1024.2164302457754</v>
      </c>
      <c r="L19" s="79">
        <f ca="1">-Dep!N68</f>
        <v>-1024.2164302457754</v>
      </c>
      <c r="M19" s="79">
        <f ca="1">-Dep!O68</f>
        <v>-1024.2164302457754</v>
      </c>
      <c r="N19" s="79">
        <f ca="1">-Dep!P68</f>
        <v>-1024.2164302457754</v>
      </c>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row>
    <row r="20" spans="1:42" x14ac:dyDescent="0.2">
      <c r="A20" t="s">
        <v>937</v>
      </c>
      <c r="D20" s="793">
        <f t="shared" ref="D20:N20" ca="1" si="3">SUM(D17:D19)</f>
        <v>40456.548994708122</v>
      </c>
      <c r="E20" s="793">
        <f t="shared" ca="1" si="3"/>
        <v>39432.332564462347</v>
      </c>
      <c r="F20" s="793">
        <f t="shared" ca="1" si="3"/>
        <v>38408.116134216572</v>
      </c>
      <c r="G20" s="793">
        <f t="shared" ca="1" si="3"/>
        <v>37383.899703970797</v>
      </c>
      <c r="H20" s="793">
        <f t="shared" ca="1" si="3"/>
        <v>36359.683273725022</v>
      </c>
      <c r="I20" s="793">
        <f t="shared" ca="1" si="3"/>
        <v>35335.466843479247</v>
      </c>
      <c r="J20" s="793">
        <f t="shared" ca="1" si="3"/>
        <v>34311.250413233472</v>
      </c>
      <c r="K20" s="793">
        <f t="shared" ca="1" si="3"/>
        <v>33287.033982987698</v>
      </c>
      <c r="L20" s="793">
        <f t="shared" ca="1" si="3"/>
        <v>32262.817552741923</v>
      </c>
      <c r="M20" s="793">
        <f t="shared" ca="1" si="3"/>
        <v>31238.601122496148</v>
      </c>
      <c r="N20" s="793">
        <f t="shared" ca="1" si="3"/>
        <v>30214.384692250373</v>
      </c>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row>
    <row r="21" spans="1:42" x14ac:dyDescent="0.2">
      <c r="D21" s="793"/>
      <c r="E21" s="793"/>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row>
    <row r="22" spans="1:42" x14ac:dyDescent="0.2">
      <c r="A22" s="80" t="s">
        <v>938</v>
      </c>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row>
    <row r="23" spans="1:42" x14ac:dyDescent="0.2">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row>
    <row r="24" spans="1:42" x14ac:dyDescent="0.2">
      <c r="A24" t="s">
        <v>939</v>
      </c>
      <c r="D24" s="793">
        <f ca="1">D10</f>
        <v>79725.903654932961</v>
      </c>
      <c r="E24" s="793">
        <f ca="1">D27</f>
        <v>74261.625338787999</v>
      </c>
      <c r="F24" s="793">
        <f t="shared" ref="F24:N24" ca="1" si="4">E27</f>
        <v>55104.076533694912</v>
      </c>
      <c r="G24" s="793">
        <f t="shared" ca="1" si="4"/>
        <v>41422.390984447135</v>
      </c>
      <c r="H24" s="793">
        <f t="shared" ca="1" si="4"/>
        <v>31652.050617946006</v>
      </c>
      <c r="I24" s="793">
        <f t="shared" ca="1" si="4"/>
        <v>24666.402421560495</v>
      </c>
      <c r="J24" s="793">
        <f t="shared" ca="1" si="4"/>
        <v>17144.101815540474</v>
      </c>
      <c r="K24" s="793">
        <f t="shared" ca="1" si="4"/>
        <v>9569.2036191549614</v>
      </c>
      <c r="L24" s="793">
        <f t="shared" ca="1" si="4"/>
        <v>5524.5783161449508</v>
      </c>
      <c r="M24" s="793">
        <f t="shared" ca="1" si="4"/>
        <v>5024.5783161449508</v>
      </c>
      <c r="N24" s="793">
        <f t="shared" ca="1" si="4"/>
        <v>4524.5783161449508</v>
      </c>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row>
    <row r="25" spans="1:42" x14ac:dyDescent="0.2">
      <c r="A25" t="s">
        <v>271</v>
      </c>
      <c r="D25" s="76">
        <f>D11</f>
        <v>250</v>
      </c>
      <c r="E25" s="76">
        <f t="shared" ref="E25:N25" si="5">E11</f>
        <v>500</v>
      </c>
      <c r="F25" s="76">
        <f t="shared" si="5"/>
        <v>500</v>
      </c>
      <c r="G25" s="76">
        <f t="shared" si="5"/>
        <v>500</v>
      </c>
      <c r="H25" s="76">
        <f t="shared" si="5"/>
        <v>500</v>
      </c>
      <c r="I25" s="76">
        <f t="shared" si="5"/>
        <v>0</v>
      </c>
      <c r="J25" s="76">
        <f t="shared" si="5"/>
        <v>0</v>
      </c>
      <c r="K25" s="76">
        <f t="shared" si="5"/>
        <v>0</v>
      </c>
      <c r="L25" s="76">
        <f t="shared" si="5"/>
        <v>0</v>
      </c>
      <c r="M25" s="76">
        <f t="shared" si="5"/>
        <v>0</v>
      </c>
      <c r="N25" s="76">
        <f t="shared" si="5"/>
        <v>0</v>
      </c>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row>
    <row r="26" spans="1:42" x14ac:dyDescent="0.2">
      <c r="A26" t="s">
        <v>936</v>
      </c>
      <c r="D26" s="79">
        <f ca="1">-(Dep!F103-Dep!F101)/2</f>
        <v>-5714.2783161449597</v>
      </c>
      <c r="E26" s="79">
        <f ca="1">-(Dep!G103-Dep!G101)</f>
        <v>-19657.548805093084</v>
      </c>
      <c r="F26" s="79">
        <f ca="1">-(Dep!H103-Dep!H101)</f>
        <v>-14181.685549247773</v>
      </c>
      <c r="G26" s="79">
        <f ca="1">-(Dep!I103-Dep!I101)</f>
        <v>-10270.340366501126</v>
      </c>
      <c r="H26" s="79">
        <f ca="1">-(Dep!J103-Dep!J101)</f>
        <v>-7485.6481963855131</v>
      </c>
      <c r="I26" s="79">
        <f ca="1">-(Dep!K103-Dep!K101)</f>
        <v>-7522.3006060200205</v>
      </c>
      <c r="J26" s="79">
        <f ca="1">-(Dep!L103-Dep!L101)</f>
        <v>-7574.8981963855131</v>
      </c>
      <c r="K26" s="79">
        <f ca="1">-(Dep!M103-Dep!M101)</f>
        <v>-4044.6253030100111</v>
      </c>
      <c r="L26" s="79">
        <f ca="1">-(Dep!N103-Dep!N101)</f>
        <v>-500</v>
      </c>
      <c r="M26" s="79">
        <f ca="1">-(Dep!O103-Dep!O101)</f>
        <v>-500</v>
      </c>
      <c r="N26" s="79">
        <f ca="1">-(Dep!P103-Dep!P101)</f>
        <v>-500</v>
      </c>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row>
    <row r="27" spans="1:42" x14ac:dyDescent="0.2">
      <c r="A27" t="s">
        <v>937</v>
      </c>
      <c r="D27" s="793">
        <f t="shared" ref="D27:N27" ca="1" si="6">SUM(D24:D26)</f>
        <v>74261.625338787999</v>
      </c>
      <c r="E27" s="793">
        <f t="shared" ca="1" si="6"/>
        <v>55104.076533694912</v>
      </c>
      <c r="F27" s="793">
        <f t="shared" ca="1" si="6"/>
        <v>41422.390984447135</v>
      </c>
      <c r="G27" s="793">
        <f t="shared" ca="1" si="6"/>
        <v>31652.050617946006</v>
      </c>
      <c r="H27" s="793">
        <f t="shared" ca="1" si="6"/>
        <v>24666.402421560495</v>
      </c>
      <c r="I27" s="793">
        <f t="shared" ca="1" si="6"/>
        <v>17144.101815540474</v>
      </c>
      <c r="J27" s="793">
        <f t="shared" ca="1" si="6"/>
        <v>9569.2036191549614</v>
      </c>
      <c r="K27" s="793">
        <f t="shared" ca="1" si="6"/>
        <v>5524.5783161449508</v>
      </c>
      <c r="L27" s="793">
        <f t="shared" ca="1" si="6"/>
        <v>5024.5783161449508</v>
      </c>
      <c r="M27" s="793">
        <f t="shared" ca="1" si="6"/>
        <v>4524.5783161449508</v>
      </c>
      <c r="N27" s="793">
        <f t="shared" ca="1" si="6"/>
        <v>4024.5783161449508</v>
      </c>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row>
    <row r="28" spans="1:42" x14ac:dyDescent="0.2">
      <c r="D28" s="793"/>
      <c r="E28" s="793"/>
      <c r="F28" s="793"/>
      <c r="G28" s="793"/>
      <c r="H28" s="793"/>
      <c r="I28" s="793"/>
      <c r="J28" s="793"/>
      <c r="K28" s="793"/>
      <c r="L28" s="793"/>
      <c r="M28" s="793"/>
      <c r="N28" s="793"/>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row>
    <row r="29" spans="1:42" x14ac:dyDescent="0.2">
      <c r="A29" s="80" t="s">
        <v>993</v>
      </c>
      <c r="D29" s="793"/>
      <c r="E29" s="793"/>
      <c r="F29" s="793"/>
      <c r="G29" s="793"/>
      <c r="H29" s="793"/>
      <c r="I29" s="793"/>
      <c r="J29" s="793"/>
      <c r="K29" s="793"/>
      <c r="L29" s="793"/>
      <c r="M29" s="793"/>
      <c r="N29" s="793"/>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row>
    <row r="30" spans="1:42" x14ac:dyDescent="0.2">
      <c r="A30" s="80"/>
      <c r="D30" s="793"/>
      <c r="E30" s="793"/>
      <c r="F30" s="793"/>
      <c r="G30" s="793"/>
      <c r="H30" s="793"/>
      <c r="I30" s="793"/>
      <c r="J30" s="793"/>
      <c r="K30" s="793"/>
      <c r="L30" s="793"/>
      <c r="M30" s="793"/>
      <c r="N30" s="793"/>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row>
    <row r="31" spans="1:42" x14ac:dyDescent="0.2">
      <c r="A31" t="s">
        <v>939</v>
      </c>
      <c r="D31" s="793">
        <f ca="1">Dep!E101</f>
        <v>40968.657209831013</v>
      </c>
      <c r="E31" s="793">
        <f ca="1">D34</f>
        <v>39603.035302836644</v>
      </c>
      <c r="F31" s="793">
        <f t="shared" ref="F31:N31" ca="1" si="7">E34</f>
        <v>36871.791488847914</v>
      </c>
      <c r="G31" s="793">
        <f t="shared" ca="1" si="7"/>
        <v>34140.547674859183</v>
      </c>
      <c r="H31" s="793">
        <f t="shared" ca="1" si="7"/>
        <v>31409.303860870448</v>
      </c>
      <c r="I31" s="793">
        <f t="shared" ca="1" si="7"/>
        <v>28678.060046881714</v>
      </c>
      <c r="J31" s="793">
        <f t="shared" ca="1" si="7"/>
        <v>25946.816232892979</v>
      </c>
      <c r="K31" s="793">
        <f t="shared" ca="1" si="7"/>
        <v>23215.572418904245</v>
      </c>
      <c r="L31" s="793">
        <f t="shared" ca="1" si="7"/>
        <v>20484.32860491551</v>
      </c>
      <c r="M31" s="793">
        <f t="shared" ca="1" si="7"/>
        <v>17753.084790926776</v>
      </c>
      <c r="N31" s="793">
        <f t="shared" ca="1" si="7"/>
        <v>15021.840976938041</v>
      </c>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row>
    <row r="32" spans="1:42" x14ac:dyDescent="0.2">
      <c r="A32" t="s">
        <v>271</v>
      </c>
      <c r="D32" s="76">
        <v>0</v>
      </c>
      <c r="E32" s="76">
        <v>0</v>
      </c>
      <c r="F32" s="76">
        <v>0</v>
      </c>
      <c r="G32" s="76">
        <v>0</v>
      </c>
      <c r="H32" s="76">
        <v>0</v>
      </c>
      <c r="I32" s="76">
        <v>0</v>
      </c>
      <c r="J32" s="76">
        <v>0</v>
      </c>
      <c r="K32" s="76">
        <v>0</v>
      </c>
      <c r="L32" s="76">
        <v>0</v>
      </c>
      <c r="M32" s="76">
        <v>0</v>
      </c>
      <c r="N32" s="76">
        <v>0</v>
      </c>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row>
    <row r="33" spans="1:42" x14ac:dyDescent="0.2">
      <c r="A33" t="s">
        <v>936</v>
      </c>
      <c r="D33" s="79">
        <f ca="1">-Dep!F101/2</f>
        <v>-1365.621906994367</v>
      </c>
      <c r="E33" s="79">
        <f ca="1">-Dep!G101</f>
        <v>-2731.243813988734</v>
      </c>
      <c r="F33" s="79">
        <f ca="1">-Dep!H101</f>
        <v>-2731.243813988734</v>
      </c>
      <c r="G33" s="79">
        <f ca="1">-Dep!I101</f>
        <v>-2731.243813988734</v>
      </c>
      <c r="H33" s="79">
        <f ca="1">-Dep!J101</f>
        <v>-2731.243813988734</v>
      </c>
      <c r="I33" s="79">
        <f ca="1">-Dep!K101</f>
        <v>-2731.243813988734</v>
      </c>
      <c r="J33" s="79">
        <f ca="1">-Dep!L101</f>
        <v>-2731.243813988734</v>
      </c>
      <c r="K33" s="79">
        <f ca="1">-Dep!M101</f>
        <v>-2731.243813988734</v>
      </c>
      <c r="L33" s="79">
        <f ca="1">-Dep!N101</f>
        <v>-2731.243813988734</v>
      </c>
      <c r="M33" s="79">
        <f ca="1">-Dep!O101</f>
        <v>-2731.243813988734</v>
      </c>
      <c r="N33" s="79">
        <f ca="1">-Dep!P101</f>
        <v>-2731.243813988734</v>
      </c>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row>
    <row r="34" spans="1:42" x14ac:dyDescent="0.2">
      <c r="A34" t="s">
        <v>937</v>
      </c>
      <c r="D34" s="793">
        <f t="shared" ref="D34:N34" ca="1" si="8">SUM(D31:D33)</f>
        <v>39603.035302836644</v>
      </c>
      <c r="E34" s="793">
        <f t="shared" ca="1" si="8"/>
        <v>36871.791488847914</v>
      </c>
      <c r="F34" s="793">
        <f t="shared" ca="1" si="8"/>
        <v>34140.547674859183</v>
      </c>
      <c r="G34" s="793">
        <f t="shared" ca="1" si="8"/>
        <v>31409.303860870448</v>
      </c>
      <c r="H34" s="793">
        <f t="shared" ca="1" si="8"/>
        <v>28678.060046881714</v>
      </c>
      <c r="I34" s="793">
        <f t="shared" ca="1" si="8"/>
        <v>25946.816232892979</v>
      </c>
      <c r="J34" s="793">
        <f t="shared" ca="1" si="8"/>
        <v>23215.572418904245</v>
      </c>
      <c r="K34" s="793">
        <f t="shared" ca="1" si="8"/>
        <v>20484.32860491551</v>
      </c>
      <c r="L34" s="793">
        <f t="shared" ca="1" si="8"/>
        <v>17753.084790926776</v>
      </c>
      <c r="M34" s="793">
        <f t="shared" ca="1" si="8"/>
        <v>15021.840976938041</v>
      </c>
      <c r="N34" s="793">
        <f t="shared" ca="1" si="8"/>
        <v>12290.597162949307</v>
      </c>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row>
    <row r="35" spans="1:42" x14ac:dyDescent="0.2">
      <c r="D35" s="793"/>
      <c r="E35" s="793"/>
      <c r="F35" s="793"/>
      <c r="G35" s="793"/>
      <c r="H35" s="793"/>
      <c r="I35" s="793"/>
      <c r="J35" s="793"/>
      <c r="K35" s="793"/>
      <c r="L35" s="793"/>
      <c r="M35" s="793"/>
      <c r="N35" s="793"/>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row>
    <row r="36" spans="1:42" x14ac:dyDescent="0.2">
      <c r="A36" t="s">
        <v>992</v>
      </c>
      <c r="D36" s="76">
        <f ca="1">D26+D33</f>
        <v>-7079.900223139327</v>
      </c>
      <c r="E36" s="76">
        <f t="shared" ref="E36:N36" ca="1" si="9">E26+E33</f>
        <v>-22388.792619081818</v>
      </c>
      <c r="F36" s="76">
        <f t="shared" ca="1" si="9"/>
        <v>-16912.929363236508</v>
      </c>
      <c r="G36" s="76">
        <f t="shared" ca="1" si="9"/>
        <v>-13001.584180489861</v>
      </c>
      <c r="H36" s="76">
        <f t="shared" ca="1" si="9"/>
        <v>-10216.892010374248</v>
      </c>
      <c r="I36" s="76">
        <f t="shared" ca="1" si="9"/>
        <v>-10253.544420008755</v>
      </c>
      <c r="J36" s="76">
        <f t="shared" ca="1" si="9"/>
        <v>-10306.142010374248</v>
      </c>
      <c r="K36" s="76">
        <f t="shared" ca="1" si="9"/>
        <v>-6775.8691169987451</v>
      </c>
      <c r="L36" s="76">
        <f t="shared" ca="1" si="9"/>
        <v>-3231.243813988734</v>
      </c>
      <c r="M36" s="76">
        <f t="shared" ca="1" si="9"/>
        <v>-3231.243813988734</v>
      </c>
      <c r="N36" s="76">
        <f t="shared" ca="1" si="9"/>
        <v>-3231.243813988734</v>
      </c>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row>
    <row r="37" spans="1:42" x14ac:dyDescent="0.2">
      <c r="A37" t="s">
        <v>991</v>
      </c>
      <c r="D37" s="76">
        <f ca="1">D12+D19</f>
        <v>-1845.0399427051036</v>
      </c>
      <c r="E37" s="76">
        <f t="shared" ref="E37:N37" ca="1" si="10">E12+E19</f>
        <v>-3706.7465520768742</v>
      </c>
      <c r="F37" s="76">
        <f t="shared" ca="1" si="10"/>
        <v>-3723.4132187435407</v>
      </c>
      <c r="G37" s="76">
        <f t="shared" ca="1" si="10"/>
        <v>-3740.0798854102072</v>
      </c>
      <c r="H37" s="76">
        <f t="shared" ca="1" si="10"/>
        <v>-3756.7465520768742</v>
      </c>
      <c r="I37" s="76">
        <f t="shared" ca="1" si="10"/>
        <v>-3773.4132187435407</v>
      </c>
      <c r="J37" s="76">
        <f t="shared" ca="1" si="10"/>
        <v>-3790.0798854102072</v>
      </c>
      <c r="K37" s="76">
        <f t="shared" ca="1" si="10"/>
        <v>-3806.7465520768742</v>
      </c>
      <c r="L37" s="76">
        <f t="shared" ca="1" si="10"/>
        <v>-3823.4132187435407</v>
      </c>
      <c r="M37" s="76">
        <f t="shared" ca="1" si="10"/>
        <v>-3840.0798854102072</v>
      </c>
      <c r="N37" s="76">
        <f t="shared" ca="1" si="10"/>
        <v>-3856.7465520768742</v>
      </c>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row>
    <row r="38" spans="1:42" x14ac:dyDescent="0.2">
      <c r="A38" t="s">
        <v>962</v>
      </c>
      <c r="D38" s="794">
        <f ca="1">D37-D36</f>
        <v>5234.8602804342236</v>
      </c>
      <c r="E38" s="794">
        <f t="shared" ref="E38:N38" ca="1" si="11">E37-E36</f>
        <v>18682.046067004943</v>
      </c>
      <c r="F38" s="794">
        <f t="shared" ca="1" si="11"/>
        <v>13189.516144492967</v>
      </c>
      <c r="G38" s="794">
        <f t="shared" ca="1" si="11"/>
        <v>9261.5042950796542</v>
      </c>
      <c r="H38" s="794">
        <f t="shared" ca="1" si="11"/>
        <v>6460.1454582973729</v>
      </c>
      <c r="I38" s="794">
        <f t="shared" ca="1" si="11"/>
        <v>6480.1312012652143</v>
      </c>
      <c r="J38" s="794">
        <f t="shared" ca="1" si="11"/>
        <v>6516.0621249640408</v>
      </c>
      <c r="K38" s="794">
        <f t="shared" ca="1" si="11"/>
        <v>2969.1225649218709</v>
      </c>
      <c r="L38" s="794">
        <f t="shared" ca="1" si="11"/>
        <v>-592.16940475480669</v>
      </c>
      <c r="M38" s="794">
        <f t="shared" ca="1" si="11"/>
        <v>-608.83607142147321</v>
      </c>
      <c r="N38" s="794">
        <f t="shared" ca="1" si="11"/>
        <v>-625.50273808814018</v>
      </c>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row>
    <row r="39" spans="1:42" x14ac:dyDescent="0.2">
      <c r="A39" t="s">
        <v>959</v>
      </c>
      <c r="D39" s="793">
        <f ca="1">D38*Assumptions!$B$8</f>
        <v>1832.2010981519782</v>
      </c>
      <c r="E39" s="793">
        <f ca="1">E38*Assumptions!$B$8</f>
        <v>6538.7161234517298</v>
      </c>
      <c r="F39" s="793">
        <f ca="1">F38*Assumptions!$B$8</f>
        <v>4616.3306505725386</v>
      </c>
      <c r="G39" s="793">
        <f ca="1">G38*Assumptions!$B$8</f>
        <v>3241.5265032778789</v>
      </c>
      <c r="H39" s="793">
        <f ca="1">H38*Assumptions!$B$8</f>
        <v>2261.0509104040802</v>
      </c>
      <c r="I39" s="793">
        <f ca="1">I38*Assumptions!$B$8</f>
        <v>2268.0459204428248</v>
      </c>
      <c r="J39" s="793">
        <f ca="1">J38*Assumptions!$B$8</f>
        <v>2280.6217437374139</v>
      </c>
      <c r="K39" s="793">
        <f ca="1">K38*Assumptions!$B$8</f>
        <v>1039.1928977226548</v>
      </c>
      <c r="L39" s="793">
        <f ca="1">L38*Assumptions!$B$8</f>
        <v>-207.25929166418234</v>
      </c>
      <c r="M39" s="793">
        <f ca="1">M38*Assumptions!$B$8</f>
        <v>-213.0926249975156</v>
      </c>
      <c r="N39" s="793">
        <f ca="1">N38*Assumptions!$B$8</f>
        <v>-218.92595833084906</v>
      </c>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row>
    <row r="40" spans="1:42" x14ac:dyDescent="0.2">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row>
    <row r="41" spans="1:42" x14ac:dyDescent="0.2">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row>
    <row r="42" spans="1:42" x14ac:dyDescent="0.2">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row>
    <row r="43" spans="1:42" x14ac:dyDescent="0.2">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row>
    <row r="44" spans="1:42" x14ac:dyDescent="0.2">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row>
    <row r="45" spans="1:42" x14ac:dyDescent="0.2">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row>
    <row r="46" spans="1:42" x14ac:dyDescent="0.2">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row>
    <row r="47" spans="1:42" x14ac:dyDescent="0.2">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row>
    <row r="48" spans="1:42" x14ac:dyDescent="0.2">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row>
    <row r="49" spans="5:42" x14ac:dyDescent="0.2">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row>
    <row r="50" spans="5:42" x14ac:dyDescent="0.2">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row>
    <row r="51" spans="5:42" x14ac:dyDescent="0.2">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row>
    <row r="52" spans="5:42" x14ac:dyDescent="0.2">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row>
    <row r="53" spans="5:42" x14ac:dyDescent="0.2">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row>
    <row r="54" spans="5:42" x14ac:dyDescent="0.2">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row>
    <row r="55" spans="5:42" x14ac:dyDescent="0.2">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row>
    <row r="56" spans="5:42" x14ac:dyDescent="0.2">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row>
    <row r="57" spans="5:42" x14ac:dyDescent="0.2">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row>
    <row r="58" spans="5:42" x14ac:dyDescent="0.2">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row>
    <row r="59" spans="5:42" x14ac:dyDescent="0.2">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row>
    <row r="60" spans="5:42" x14ac:dyDescent="0.2">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row>
    <row r="61" spans="5:42" x14ac:dyDescent="0.2">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row>
    <row r="62" spans="5:42" x14ac:dyDescent="0.2">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row>
    <row r="63" spans="5:42" x14ac:dyDescent="0.2">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row>
    <row r="64" spans="5:42" x14ac:dyDescent="0.2">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row>
    <row r="65" spans="5:42" x14ac:dyDescent="0.2">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row>
    <row r="66" spans="5:42" x14ac:dyDescent="0.2">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row>
    <row r="67" spans="5:42" x14ac:dyDescent="0.2">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row>
    <row r="68" spans="5:42" x14ac:dyDescent="0.2">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row>
    <row r="69" spans="5:42" x14ac:dyDescent="0.2">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row>
    <row r="70" spans="5:42" x14ac:dyDescent="0.2">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row>
    <row r="71" spans="5:42" x14ac:dyDescent="0.2">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row>
    <row r="72" spans="5:42" x14ac:dyDescent="0.2">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row>
    <row r="73" spans="5:42" x14ac:dyDescent="0.2">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row>
    <row r="74" spans="5:42" x14ac:dyDescent="0.2">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row>
    <row r="75" spans="5:42" x14ac:dyDescent="0.2">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row>
    <row r="76" spans="5:42" x14ac:dyDescent="0.2">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row>
    <row r="77" spans="5:42" x14ac:dyDescent="0.2">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row>
    <row r="78" spans="5:42" x14ac:dyDescent="0.2">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row>
    <row r="79" spans="5:42" x14ac:dyDescent="0.2">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row>
    <row r="80" spans="5:42" x14ac:dyDescent="0.2">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row>
    <row r="81" spans="5:42" x14ac:dyDescent="0.2">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row>
    <row r="82" spans="5:42" x14ac:dyDescent="0.2">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row>
    <row r="83" spans="5:42" x14ac:dyDescent="0.2">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row>
    <row r="84" spans="5:42" x14ac:dyDescent="0.2">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row>
    <row r="85" spans="5:42" x14ac:dyDescent="0.2">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row>
    <row r="86" spans="5:42" x14ac:dyDescent="0.2">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row>
    <row r="87" spans="5:42" x14ac:dyDescent="0.2">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c r="AP87" s="76"/>
    </row>
    <row r="88" spans="5:42" x14ac:dyDescent="0.2">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row>
    <row r="89" spans="5:42" x14ac:dyDescent="0.2">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row>
    <row r="90" spans="5:42" x14ac:dyDescent="0.2">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row>
    <row r="91" spans="5:42" x14ac:dyDescent="0.2">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c r="AP91" s="76"/>
    </row>
    <row r="92" spans="5:42" x14ac:dyDescent="0.2">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row>
    <row r="93" spans="5:42" x14ac:dyDescent="0.2">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c r="AP93" s="76"/>
    </row>
    <row r="94" spans="5:42" x14ac:dyDescent="0.2">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row>
    <row r="95" spans="5:42" x14ac:dyDescent="0.2">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c r="AP95" s="76"/>
    </row>
    <row r="96" spans="5:42" x14ac:dyDescent="0.2">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row>
    <row r="97" spans="5:42" x14ac:dyDescent="0.2">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c r="AP97" s="76"/>
    </row>
    <row r="98" spans="5:42" x14ac:dyDescent="0.2">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row>
    <row r="99" spans="5:42" x14ac:dyDescent="0.2">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row>
    <row r="100" spans="5:42" x14ac:dyDescent="0.2">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row>
    <row r="101" spans="5:42" x14ac:dyDescent="0.2">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row>
    <row r="102" spans="5:42" x14ac:dyDescent="0.2">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c r="AP102" s="76"/>
    </row>
    <row r="103" spans="5:42" x14ac:dyDescent="0.2">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c r="AP103" s="76"/>
    </row>
    <row r="104" spans="5:42" x14ac:dyDescent="0.2">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c r="AP104" s="76"/>
    </row>
    <row r="105" spans="5:42" x14ac:dyDescent="0.2">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c r="AL105" s="76"/>
      <c r="AM105" s="76"/>
      <c r="AN105" s="76"/>
      <c r="AO105" s="76"/>
      <c r="AP105" s="76"/>
    </row>
    <row r="106" spans="5:42" x14ac:dyDescent="0.2">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row>
    <row r="107" spans="5:42" x14ac:dyDescent="0.2">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c r="AP107" s="76"/>
    </row>
    <row r="108" spans="5:42" x14ac:dyDescent="0.2">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c r="AL108" s="76"/>
      <c r="AM108" s="76"/>
      <c r="AN108" s="76"/>
      <c r="AO108" s="76"/>
      <c r="AP108" s="76"/>
    </row>
    <row r="109" spans="5:42" x14ac:dyDescent="0.2">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c r="AP109" s="76"/>
    </row>
    <row r="110" spans="5:42" x14ac:dyDescent="0.2">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c r="AP110" s="76"/>
    </row>
    <row r="111" spans="5:42" x14ac:dyDescent="0.2">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c r="AP111" s="76"/>
    </row>
    <row r="112" spans="5:42" x14ac:dyDescent="0.2">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c r="AL112" s="76"/>
      <c r="AM112" s="76"/>
      <c r="AN112" s="76"/>
      <c r="AO112" s="76"/>
      <c r="AP112" s="76"/>
    </row>
    <row r="113" spans="5:42" x14ac:dyDescent="0.2">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c r="AP113" s="76"/>
    </row>
    <row r="114" spans="5:42" x14ac:dyDescent="0.2">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c r="AP114" s="76"/>
    </row>
    <row r="115" spans="5:42" x14ac:dyDescent="0.2">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c r="AP115" s="76"/>
    </row>
    <row r="116" spans="5:42" x14ac:dyDescent="0.2">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c r="AP116" s="76"/>
    </row>
    <row r="117" spans="5:42" x14ac:dyDescent="0.2">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c r="AP117" s="76"/>
    </row>
    <row r="118" spans="5:42" x14ac:dyDescent="0.2">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c r="AP118" s="76"/>
    </row>
    <row r="119" spans="5:42" x14ac:dyDescent="0.2">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c r="AP119" s="76"/>
    </row>
    <row r="120" spans="5:42" x14ac:dyDescent="0.2">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c r="AP120" s="76"/>
    </row>
    <row r="121" spans="5:42" x14ac:dyDescent="0.2">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c r="AP121" s="76"/>
    </row>
    <row r="122" spans="5:42" x14ac:dyDescent="0.2">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c r="AP122" s="76"/>
    </row>
    <row r="123" spans="5:42" x14ac:dyDescent="0.2">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c r="AP123" s="76"/>
    </row>
    <row r="124" spans="5:42" x14ac:dyDescent="0.2">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c r="AP124" s="76"/>
    </row>
    <row r="125" spans="5:42" x14ac:dyDescent="0.2">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c r="AP125" s="76"/>
    </row>
    <row r="126" spans="5:42" x14ac:dyDescent="0.2">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c r="AP126" s="76"/>
    </row>
    <row r="127" spans="5:42" x14ac:dyDescent="0.2">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row>
    <row r="128" spans="5:42" x14ac:dyDescent="0.2">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row>
    <row r="129" spans="5:42" x14ac:dyDescent="0.2">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c r="AP129" s="76"/>
    </row>
    <row r="130" spans="5:42" x14ac:dyDescent="0.2">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c r="AP130" s="76"/>
    </row>
    <row r="131" spans="5:42" x14ac:dyDescent="0.2">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c r="AP131" s="76"/>
    </row>
    <row r="132" spans="5:42" x14ac:dyDescent="0.2">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c r="AP132" s="76"/>
    </row>
    <row r="133" spans="5:42" x14ac:dyDescent="0.2">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c r="AP133" s="76"/>
    </row>
    <row r="134" spans="5:42" x14ac:dyDescent="0.2">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c r="AP134" s="76"/>
    </row>
    <row r="135" spans="5:42" x14ac:dyDescent="0.2">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c r="AP135" s="76"/>
    </row>
    <row r="136" spans="5:42" x14ac:dyDescent="0.2">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c r="AP136" s="76"/>
    </row>
    <row r="137" spans="5:42" x14ac:dyDescent="0.2">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c r="AP137" s="76"/>
    </row>
    <row r="138" spans="5:42" x14ac:dyDescent="0.2">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c r="AP138" s="76"/>
    </row>
    <row r="139" spans="5:42" x14ac:dyDescent="0.2">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c r="AP139" s="76"/>
    </row>
    <row r="140" spans="5:42" x14ac:dyDescent="0.2">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c r="AP140" s="76"/>
    </row>
    <row r="141" spans="5:42" x14ac:dyDescent="0.2">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c r="AP141" s="76"/>
    </row>
    <row r="142" spans="5:42" x14ac:dyDescent="0.2">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c r="AP142" s="76"/>
    </row>
    <row r="143" spans="5:42" x14ac:dyDescent="0.2">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c r="AP143" s="76"/>
    </row>
    <row r="144" spans="5:42" x14ac:dyDescent="0.2">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c r="AP144" s="76"/>
    </row>
    <row r="145" spans="5:42" x14ac:dyDescent="0.2">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c r="AP145" s="76"/>
    </row>
    <row r="146" spans="5:42" x14ac:dyDescent="0.2">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c r="AP146" s="76"/>
    </row>
    <row r="147" spans="5:42" x14ac:dyDescent="0.2">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c r="AP147" s="76"/>
    </row>
    <row r="148" spans="5:42" x14ac:dyDescent="0.2">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c r="AP148" s="76"/>
    </row>
    <row r="149" spans="5:42" x14ac:dyDescent="0.2">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row>
    <row r="150" spans="5:42" x14ac:dyDescent="0.2">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c r="AP150" s="76"/>
    </row>
    <row r="151" spans="5:42" x14ac:dyDescent="0.2">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c r="AP151" s="76"/>
    </row>
    <row r="152" spans="5:42" x14ac:dyDescent="0.2">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c r="AP152" s="76"/>
    </row>
    <row r="153" spans="5:42" x14ac:dyDescent="0.2">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c r="AP153" s="76"/>
    </row>
    <row r="154" spans="5:42" x14ac:dyDescent="0.2">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c r="AP154" s="76"/>
    </row>
    <row r="155" spans="5:42" x14ac:dyDescent="0.2">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c r="AP155" s="76"/>
    </row>
    <row r="156" spans="5:42" x14ac:dyDescent="0.2">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c r="AP156" s="76"/>
    </row>
    <row r="157" spans="5:42" x14ac:dyDescent="0.2">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c r="AP157" s="76"/>
    </row>
    <row r="158" spans="5:42" x14ac:dyDescent="0.2">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c r="AL158" s="76"/>
      <c r="AM158" s="76"/>
      <c r="AN158" s="76"/>
      <c r="AO158" s="76"/>
      <c r="AP158" s="76"/>
    </row>
    <row r="159" spans="5:42" x14ac:dyDescent="0.2">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c r="AL159" s="76"/>
      <c r="AM159" s="76"/>
      <c r="AN159" s="76"/>
      <c r="AO159" s="76"/>
      <c r="AP159" s="76"/>
    </row>
    <row r="160" spans="5:42" x14ac:dyDescent="0.2">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c r="AO160" s="76"/>
      <c r="AP160" s="76"/>
    </row>
    <row r="161" spans="5:42" x14ac:dyDescent="0.2">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c r="AL161" s="76"/>
      <c r="AM161" s="76"/>
      <c r="AN161" s="76"/>
      <c r="AO161" s="76"/>
      <c r="AP161" s="76"/>
    </row>
    <row r="162" spans="5:42" x14ac:dyDescent="0.2">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c r="AI162" s="76"/>
      <c r="AJ162" s="76"/>
      <c r="AK162" s="76"/>
      <c r="AL162" s="76"/>
      <c r="AM162" s="76"/>
      <c r="AN162" s="76"/>
      <c r="AO162" s="76"/>
      <c r="AP162" s="76"/>
    </row>
    <row r="163" spans="5:42" x14ac:dyDescent="0.2">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c r="AL163" s="76"/>
      <c r="AM163" s="76"/>
      <c r="AN163" s="76"/>
      <c r="AO163" s="76"/>
      <c r="AP163" s="76"/>
    </row>
    <row r="164" spans="5:42" x14ac:dyDescent="0.2">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c r="AI164" s="76"/>
      <c r="AJ164" s="76"/>
      <c r="AK164" s="76"/>
      <c r="AL164" s="76"/>
      <c r="AM164" s="76"/>
      <c r="AN164" s="76"/>
      <c r="AO164" s="76"/>
      <c r="AP164" s="76"/>
    </row>
    <row r="165" spans="5:42" x14ac:dyDescent="0.2">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c r="AL165" s="76"/>
      <c r="AM165" s="76"/>
      <c r="AN165" s="76"/>
      <c r="AO165" s="76"/>
      <c r="AP165" s="76"/>
    </row>
    <row r="166" spans="5:42" x14ac:dyDescent="0.2">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c r="AL166" s="76"/>
      <c r="AM166" s="76"/>
      <c r="AN166" s="76"/>
      <c r="AO166" s="76"/>
      <c r="AP166" s="76"/>
    </row>
    <row r="167" spans="5:42" x14ac:dyDescent="0.2">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c r="AL167" s="76"/>
      <c r="AM167" s="76"/>
      <c r="AN167" s="76"/>
      <c r="AO167" s="76"/>
      <c r="AP167" s="76"/>
    </row>
    <row r="168" spans="5:42" x14ac:dyDescent="0.2">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c r="AL168" s="76"/>
      <c r="AM168" s="76"/>
      <c r="AN168" s="76"/>
      <c r="AO168" s="76"/>
      <c r="AP168" s="76"/>
    </row>
    <row r="169" spans="5:42" x14ac:dyDescent="0.2">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c r="AL169" s="76"/>
      <c r="AM169" s="76"/>
      <c r="AN169" s="76"/>
      <c r="AO169" s="76"/>
      <c r="AP169" s="76"/>
    </row>
    <row r="170" spans="5:42" x14ac:dyDescent="0.2">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c r="AL170" s="76"/>
      <c r="AM170" s="76"/>
      <c r="AN170" s="76"/>
      <c r="AO170" s="76"/>
      <c r="AP170" s="76"/>
    </row>
    <row r="171" spans="5:42" x14ac:dyDescent="0.2">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c r="AL171" s="76"/>
      <c r="AM171" s="76"/>
      <c r="AN171" s="76"/>
      <c r="AO171" s="76"/>
      <c r="AP171" s="76"/>
    </row>
    <row r="172" spans="5:42" x14ac:dyDescent="0.2">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c r="AL172" s="76"/>
      <c r="AM172" s="76"/>
      <c r="AN172" s="76"/>
      <c r="AO172" s="76"/>
      <c r="AP172" s="76"/>
    </row>
    <row r="173" spans="5:42" x14ac:dyDescent="0.2">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c r="AL173" s="76"/>
      <c r="AM173" s="76"/>
      <c r="AN173" s="76"/>
      <c r="AO173" s="76"/>
      <c r="AP173" s="76"/>
    </row>
    <row r="174" spans="5:42" x14ac:dyDescent="0.2">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c r="AL174" s="76"/>
      <c r="AM174" s="76"/>
      <c r="AN174" s="76"/>
      <c r="AO174" s="76"/>
      <c r="AP174" s="76"/>
    </row>
    <row r="175" spans="5:42" x14ac:dyDescent="0.2">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c r="AL175" s="76"/>
      <c r="AM175" s="76"/>
      <c r="AN175" s="76"/>
      <c r="AO175" s="76"/>
      <c r="AP175" s="76"/>
    </row>
    <row r="176" spans="5:42" x14ac:dyDescent="0.2">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c r="AL176" s="76"/>
      <c r="AM176" s="76"/>
      <c r="AN176" s="76"/>
      <c r="AO176" s="76"/>
      <c r="AP176" s="76"/>
    </row>
    <row r="177" spans="5:42" x14ac:dyDescent="0.2">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c r="AL177" s="76"/>
      <c r="AM177" s="76"/>
      <c r="AN177" s="76"/>
      <c r="AO177" s="76"/>
      <c r="AP177" s="76"/>
    </row>
    <row r="178" spans="5:42" x14ac:dyDescent="0.2">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c r="AL178" s="76"/>
      <c r="AM178" s="76"/>
      <c r="AN178" s="76"/>
      <c r="AO178" s="76"/>
      <c r="AP178" s="76"/>
    </row>
    <row r="179" spans="5:42" x14ac:dyDescent="0.2">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c r="AL179" s="76"/>
      <c r="AM179" s="76"/>
      <c r="AN179" s="76"/>
      <c r="AO179" s="76"/>
      <c r="AP179" s="76"/>
    </row>
    <row r="180" spans="5:42" x14ac:dyDescent="0.2">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c r="AL180" s="76"/>
      <c r="AM180" s="76"/>
      <c r="AN180" s="76"/>
      <c r="AO180" s="76"/>
      <c r="AP180" s="76"/>
    </row>
    <row r="181" spans="5:42" x14ac:dyDescent="0.2">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c r="AL181" s="76"/>
      <c r="AM181" s="76"/>
      <c r="AN181" s="76"/>
      <c r="AO181" s="76"/>
      <c r="AP181" s="76"/>
    </row>
    <row r="182" spans="5:42" x14ac:dyDescent="0.2">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c r="AI182" s="76"/>
      <c r="AJ182" s="76"/>
      <c r="AK182" s="76"/>
      <c r="AL182" s="76"/>
      <c r="AM182" s="76"/>
      <c r="AN182" s="76"/>
      <c r="AO182" s="76"/>
      <c r="AP182" s="76"/>
    </row>
    <row r="183" spans="5:42" x14ac:dyDescent="0.2">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c r="AJ183" s="76"/>
      <c r="AK183" s="76"/>
      <c r="AL183" s="76"/>
      <c r="AM183" s="76"/>
      <c r="AN183" s="76"/>
      <c r="AO183" s="76"/>
      <c r="AP183" s="76"/>
    </row>
    <row r="184" spans="5:42" x14ac:dyDescent="0.2">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c r="AI184" s="76"/>
      <c r="AJ184" s="76"/>
      <c r="AK184" s="76"/>
      <c r="AL184" s="76"/>
      <c r="AM184" s="76"/>
      <c r="AN184" s="76"/>
      <c r="AO184" s="76"/>
      <c r="AP184" s="76"/>
    </row>
    <row r="185" spans="5:42" x14ac:dyDescent="0.2">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c r="AI185" s="76"/>
      <c r="AJ185" s="76"/>
      <c r="AK185" s="76"/>
      <c r="AL185" s="76"/>
      <c r="AM185" s="76"/>
      <c r="AN185" s="76"/>
      <c r="AO185" s="76"/>
      <c r="AP185" s="76"/>
    </row>
    <row r="186" spans="5:42" x14ac:dyDescent="0.2">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c r="AL186" s="76"/>
      <c r="AM186" s="76"/>
      <c r="AN186" s="76"/>
      <c r="AO186" s="76"/>
      <c r="AP186" s="76"/>
    </row>
    <row r="187" spans="5:42" x14ac:dyDescent="0.2">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c r="AI187" s="76"/>
      <c r="AJ187" s="76"/>
      <c r="AK187" s="76"/>
      <c r="AL187" s="76"/>
      <c r="AM187" s="76"/>
      <c r="AN187" s="76"/>
      <c r="AO187" s="76"/>
      <c r="AP187" s="76"/>
    </row>
    <row r="188" spans="5:42" x14ac:dyDescent="0.2">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c r="AI188" s="76"/>
      <c r="AJ188" s="76"/>
      <c r="AK188" s="76"/>
      <c r="AL188" s="76"/>
      <c r="AM188" s="76"/>
      <c r="AN188" s="76"/>
      <c r="AO188" s="76"/>
      <c r="AP188" s="76"/>
    </row>
    <row r="189" spans="5:42" x14ac:dyDescent="0.2">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c r="AJ189" s="76"/>
      <c r="AK189" s="76"/>
      <c r="AL189" s="76"/>
      <c r="AM189" s="76"/>
      <c r="AN189" s="76"/>
      <c r="AO189" s="76"/>
      <c r="AP189" s="76"/>
    </row>
    <row r="190" spans="5:42" x14ac:dyDescent="0.2">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c r="AP190" s="76"/>
    </row>
    <row r="191" spans="5:42" x14ac:dyDescent="0.2">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c r="AL191" s="76"/>
      <c r="AM191" s="76"/>
      <c r="AN191" s="76"/>
      <c r="AO191" s="76"/>
      <c r="AP191" s="76"/>
    </row>
    <row r="192" spans="5:42" x14ac:dyDescent="0.2">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c r="AP192" s="76"/>
    </row>
    <row r="193" spans="5:42" x14ac:dyDescent="0.2">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c r="AP193" s="76"/>
    </row>
    <row r="194" spans="5:42" x14ac:dyDescent="0.2">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c r="AP194" s="76"/>
    </row>
    <row r="195" spans="5:42" x14ac:dyDescent="0.2">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c r="AP195" s="76"/>
    </row>
    <row r="196" spans="5:42" x14ac:dyDescent="0.2">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row>
    <row r="197" spans="5:42" x14ac:dyDescent="0.2">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c r="AP197" s="76"/>
    </row>
    <row r="198" spans="5:42" x14ac:dyDescent="0.2">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c r="AN198" s="76"/>
      <c r="AO198" s="76"/>
      <c r="AP198" s="76"/>
    </row>
    <row r="199" spans="5:42" x14ac:dyDescent="0.2">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c r="AJ199" s="76"/>
      <c r="AK199" s="76"/>
      <c r="AL199" s="76"/>
      <c r="AM199" s="76"/>
      <c r="AN199" s="76"/>
      <c r="AO199" s="76"/>
      <c r="AP199" s="76"/>
    </row>
    <row r="200" spans="5:42" x14ac:dyDescent="0.2">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c r="AL200" s="76"/>
      <c r="AM200" s="76"/>
      <c r="AN200" s="76"/>
      <c r="AO200" s="76"/>
      <c r="AP200" s="76"/>
    </row>
    <row r="201" spans="5:42" x14ac:dyDescent="0.2">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c r="AL201" s="76"/>
      <c r="AM201" s="76"/>
      <c r="AN201" s="76"/>
      <c r="AO201" s="76"/>
      <c r="AP201" s="76"/>
    </row>
    <row r="202" spans="5:42" x14ac:dyDescent="0.2">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c r="AL202" s="76"/>
      <c r="AM202" s="76"/>
      <c r="AN202" s="76"/>
      <c r="AO202" s="76"/>
      <c r="AP202" s="76"/>
    </row>
    <row r="203" spans="5:42" x14ac:dyDescent="0.2">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c r="AL203" s="76"/>
      <c r="AM203" s="76"/>
      <c r="AN203" s="76"/>
      <c r="AO203" s="76"/>
      <c r="AP203" s="76"/>
    </row>
    <row r="204" spans="5:42" x14ac:dyDescent="0.2">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c r="AL204" s="76"/>
      <c r="AM204" s="76"/>
      <c r="AN204" s="76"/>
      <c r="AO204" s="76"/>
      <c r="AP204" s="76"/>
    </row>
    <row r="205" spans="5:42" x14ac:dyDescent="0.2">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c r="AL205" s="76"/>
      <c r="AM205" s="76"/>
      <c r="AN205" s="76"/>
      <c r="AO205" s="76"/>
      <c r="AP205" s="76"/>
    </row>
    <row r="206" spans="5:42" x14ac:dyDescent="0.2">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c r="AL206" s="76"/>
      <c r="AM206" s="76"/>
      <c r="AN206" s="76"/>
      <c r="AO206" s="76"/>
      <c r="AP206" s="76"/>
    </row>
    <row r="207" spans="5:42" x14ac:dyDescent="0.2">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c r="AL207" s="76"/>
      <c r="AM207" s="76"/>
      <c r="AN207" s="76"/>
      <c r="AO207" s="76"/>
      <c r="AP207" s="76"/>
    </row>
    <row r="208" spans="5:42" x14ac:dyDescent="0.2">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c r="AL208" s="76"/>
      <c r="AM208" s="76"/>
      <c r="AN208" s="76"/>
      <c r="AO208" s="76"/>
      <c r="AP208" s="76"/>
    </row>
    <row r="209" spans="5:42" x14ac:dyDescent="0.2">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c r="AL209" s="76"/>
      <c r="AM209" s="76"/>
      <c r="AN209" s="76"/>
      <c r="AO209" s="76"/>
      <c r="AP209" s="76"/>
    </row>
    <row r="210" spans="5:42" x14ac:dyDescent="0.2">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c r="AL210" s="76"/>
      <c r="AM210" s="76"/>
      <c r="AN210" s="76"/>
      <c r="AO210" s="76"/>
      <c r="AP210" s="76"/>
    </row>
    <row r="211" spans="5:42" x14ac:dyDescent="0.2">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c r="AL211" s="76"/>
      <c r="AM211" s="76"/>
      <c r="AN211" s="76"/>
      <c r="AO211" s="76"/>
      <c r="AP211" s="76"/>
    </row>
    <row r="212" spans="5:42" x14ac:dyDescent="0.2">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c r="AL212" s="76"/>
      <c r="AM212" s="76"/>
      <c r="AN212" s="76"/>
      <c r="AO212" s="76"/>
      <c r="AP212" s="76"/>
    </row>
    <row r="213" spans="5:42" x14ac:dyDescent="0.2">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c r="AL213" s="76"/>
      <c r="AM213" s="76"/>
      <c r="AN213" s="76"/>
      <c r="AO213" s="76"/>
      <c r="AP213" s="76"/>
    </row>
    <row r="214" spans="5:42" x14ac:dyDescent="0.2">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c r="AL214" s="76"/>
      <c r="AM214" s="76"/>
      <c r="AN214" s="76"/>
      <c r="AO214" s="76"/>
      <c r="AP214" s="76"/>
    </row>
    <row r="215" spans="5:42" x14ac:dyDescent="0.2">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c r="AL215" s="76"/>
      <c r="AM215" s="76"/>
      <c r="AN215" s="76"/>
      <c r="AO215" s="76"/>
      <c r="AP215" s="76"/>
    </row>
    <row r="216" spans="5:42" x14ac:dyDescent="0.2">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c r="AL216" s="76"/>
      <c r="AM216" s="76"/>
      <c r="AN216" s="76"/>
      <c r="AO216" s="76"/>
      <c r="AP216" s="76"/>
    </row>
    <row r="217" spans="5:42" x14ac:dyDescent="0.2">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c r="AL217" s="76"/>
      <c r="AM217" s="76"/>
      <c r="AN217" s="76"/>
      <c r="AO217" s="76"/>
      <c r="AP217" s="76"/>
    </row>
    <row r="218" spans="5:42" x14ac:dyDescent="0.2">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c r="AL218" s="76"/>
      <c r="AM218" s="76"/>
      <c r="AN218" s="76"/>
      <c r="AO218" s="76"/>
      <c r="AP218" s="76"/>
    </row>
    <row r="219" spans="5:42" x14ac:dyDescent="0.2">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6"/>
      <c r="AK219" s="76"/>
      <c r="AL219" s="76"/>
      <c r="AM219" s="76"/>
      <c r="AN219" s="76"/>
      <c r="AO219" s="76"/>
      <c r="AP219" s="76"/>
    </row>
    <row r="220" spans="5:42" x14ac:dyDescent="0.2">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c r="AL220" s="76"/>
      <c r="AM220" s="76"/>
      <c r="AN220" s="76"/>
      <c r="AO220" s="76"/>
      <c r="AP220" s="76"/>
    </row>
    <row r="221" spans="5:42" x14ac:dyDescent="0.2">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c r="AL221" s="76"/>
      <c r="AM221" s="76"/>
      <c r="AN221" s="76"/>
      <c r="AO221" s="76"/>
      <c r="AP221" s="76"/>
    </row>
    <row r="222" spans="5:42" x14ac:dyDescent="0.2">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c r="AP222" s="76"/>
    </row>
    <row r="223" spans="5:42" x14ac:dyDescent="0.2">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c r="AL223" s="76"/>
      <c r="AM223" s="76"/>
      <c r="AN223" s="76"/>
      <c r="AO223" s="76"/>
      <c r="AP223" s="76"/>
    </row>
    <row r="224" spans="5:42" x14ac:dyDescent="0.2">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c r="AL224" s="76"/>
      <c r="AM224" s="76"/>
      <c r="AN224" s="76"/>
      <c r="AO224" s="76"/>
      <c r="AP224" s="76"/>
    </row>
    <row r="225" spans="5:42" x14ac:dyDescent="0.2">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c r="AL225" s="76"/>
      <c r="AM225" s="76"/>
      <c r="AN225" s="76"/>
      <c r="AO225" s="76"/>
      <c r="AP225" s="76"/>
    </row>
    <row r="226" spans="5:42" x14ac:dyDescent="0.2">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c r="AK226" s="76"/>
      <c r="AL226" s="76"/>
      <c r="AM226" s="76"/>
      <c r="AN226" s="76"/>
      <c r="AO226" s="76"/>
      <c r="AP226" s="76"/>
    </row>
    <row r="227" spans="5:42" x14ac:dyDescent="0.2">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c r="AK227" s="76"/>
      <c r="AL227" s="76"/>
      <c r="AM227" s="76"/>
      <c r="AN227" s="76"/>
      <c r="AO227" s="76"/>
      <c r="AP227" s="76"/>
    </row>
    <row r="228" spans="5:42" x14ac:dyDescent="0.2">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c r="AL228" s="76"/>
      <c r="AM228" s="76"/>
      <c r="AN228" s="76"/>
      <c r="AO228" s="76"/>
      <c r="AP228" s="76"/>
    </row>
    <row r="229" spans="5:42" x14ac:dyDescent="0.2">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c r="AK229" s="76"/>
      <c r="AL229" s="76"/>
      <c r="AM229" s="76"/>
      <c r="AN229" s="76"/>
      <c r="AO229" s="76"/>
      <c r="AP229" s="76"/>
    </row>
    <row r="230" spans="5:42" x14ac:dyDescent="0.2">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c r="AJ230" s="76"/>
      <c r="AK230" s="76"/>
      <c r="AL230" s="76"/>
      <c r="AM230" s="76"/>
      <c r="AN230" s="76"/>
      <c r="AO230" s="76"/>
      <c r="AP230" s="76"/>
    </row>
    <row r="231" spans="5:42" x14ac:dyDescent="0.2">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76"/>
      <c r="AK231" s="76"/>
      <c r="AL231" s="76"/>
      <c r="AM231" s="76"/>
      <c r="AN231" s="76"/>
      <c r="AO231" s="76"/>
      <c r="AP231" s="76"/>
    </row>
    <row r="232" spans="5:42" x14ac:dyDescent="0.2">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c r="AI232" s="76"/>
      <c r="AJ232" s="76"/>
      <c r="AK232" s="76"/>
      <c r="AL232" s="76"/>
      <c r="AM232" s="76"/>
      <c r="AN232" s="76"/>
      <c r="AO232" s="76"/>
      <c r="AP232" s="76"/>
    </row>
    <row r="233" spans="5:42" x14ac:dyDescent="0.2">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c r="AI233" s="76"/>
      <c r="AJ233" s="76"/>
      <c r="AK233" s="76"/>
      <c r="AL233" s="76"/>
      <c r="AM233" s="76"/>
      <c r="AN233" s="76"/>
      <c r="AO233" s="76"/>
      <c r="AP233" s="76"/>
    </row>
    <row r="234" spans="5:42" x14ac:dyDescent="0.2">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c r="AI234" s="76"/>
      <c r="AJ234" s="76"/>
      <c r="AK234" s="76"/>
      <c r="AL234" s="76"/>
      <c r="AM234" s="76"/>
      <c r="AN234" s="76"/>
      <c r="AO234" s="76"/>
      <c r="AP234" s="76"/>
    </row>
    <row r="235" spans="5:42" x14ac:dyDescent="0.2">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c r="AL235" s="76"/>
      <c r="AM235" s="76"/>
      <c r="AN235" s="76"/>
      <c r="AO235" s="76"/>
      <c r="AP235" s="76"/>
    </row>
    <row r="236" spans="5:42" x14ac:dyDescent="0.2">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c r="AI236" s="76"/>
      <c r="AJ236" s="76"/>
      <c r="AK236" s="76"/>
      <c r="AL236" s="76"/>
      <c r="AM236" s="76"/>
      <c r="AN236" s="76"/>
      <c r="AO236" s="76"/>
      <c r="AP236" s="76"/>
    </row>
    <row r="237" spans="5:42" x14ac:dyDescent="0.2">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c r="AL237" s="76"/>
      <c r="AM237" s="76"/>
      <c r="AN237" s="76"/>
      <c r="AO237" s="76"/>
      <c r="AP237" s="76"/>
    </row>
    <row r="238" spans="5:42" x14ac:dyDescent="0.2">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c r="AI238" s="76"/>
      <c r="AJ238" s="76"/>
      <c r="AK238" s="76"/>
      <c r="AL238" s="76"/>
      <c r="AM238" s="76"/>
      <c r="AN238" s="76"/>
      <c r="AO238" s="76"/>
      <c r="AP238" s="76"/>
    </row>
    <row r="239" spans="5:42" x14ac:dyDescent="0.2">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c r="AI239" s="76"/>
      <c r="AJ239" s="76"/>
      <c r="AK239" s="76"/>
      <c r="AL239" s="76"/>
      <c r="AM239" s="76"/>
      <c r="AN239" s="76"/>
      <c r="AO239" s="76"/>
      <c r="AP239" s="76"/>
    </row>
    <row r="240" spans="5:42" x14ac:dyDescent="0.2">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c r="AI240" s="76"/>
      <c r="AJ240" s="76"/>
      <c r="AK240" s="76"/>
      <c r="AL240" s="76"/>
      <c r="AM240" s="76"/>
      <c r="AN240" s="76"/>
      <c r="AO240" s="76"/>
      <c r="AP240" s="76"/>
    </row>
    <row r="241" spans="5:42" x14ac:dyDescent="0.2">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c r="AJ241" s="76"/>
      <c r="AK241" s="76"/>
      <c r="AL241" s="76"/>
      <c r="AM241" s="76"/>
      <c r="AN241" s="76"/>
      <c r="AO241" s="76"/>
      <c r="AP241" s="76"/>
    </row>
    <row r="242" spans="5:42" x14ac:dyDescent="0.2">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c r="AI242" s="76"/>
      <c r="AJ242" s="76"/>
      <c r="AK242" s="76"/>
      <c r="AL242" s="76"/>
      <c r="AM242" s="76"/>
      <c r="AN242" s="76"/>
      <c r="AO242" s="76"/>
      <c r="AP242" s="76"/>
    </row>
    <row r="243" spans="5:42" x14ac:dyDescent="0.2">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c r="AI243" s="76"/>
      <c r="AJ243" s="76"/>
      <c r="AK243" s="76"/>
      <c r="AL243" s="76"/>
      <c r="AM243" s="76"/>
      <c r="AN243" s="76"/>
      <c r="AO243" s="76"/>
      <c r="AP243" s="76"/>
    </row>
    <row r="244" spans="5:42" x14ac:dyDescent="0.2">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c r="AI244" s="76"/>
      <c r="AJ244" s="76"/>
      <c r="AK244" s="76"/>
      <c r="AL244" s="76"/>
      <c r="AM244" s="76"/>
      <c r="AN244" s="76"/>
      <c r="AO244" s="76"/>
      <c r="AP244" s="76"/>
    </row>
    <row r="245" spans="5:42" x14ac:dyDescent="0.2">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c r="AJ245" s="76"/>
      <c r="AK245" s="76"/>
      <c r="AL245" s="76"/>
      <c r="AM245" s="76"/>
      <c r="AN245" s="76"/>
      <c r="AO245" s="76"/>
      <c r="AP245" s="76"/>
    </row>
    <row r="246" spans="5:42" x14ac:dyDescent="0.2">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c r="AJ246" s="76"/>
      <c r="AK246" s="76"/>
      <c r="AL246" s="76"/>
      <c r="AM246" s="76"/>
      <c r="AN246" s="76"/>
      <c r="AO246" s="76"/>
      <c r="AP246" s="76"/>
    </row>
    <row r="247" spans="5:42" x14ac:dyDescent="0.2">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c r="AJ247" s="76"/>
      <c r="AK247" s="76"/>
      <c r="AL247" s="76"/>
      <c r="AM247" s="76"/>
      <c r="AN247" s="76"/>
      <c r="AO247" s="76"/>
      <c r="AP247" s="76"/>
    </row>
    <row r="248" spans="5:42" x14ac:dyDescent="0.2">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c r="AI248" s="76"/>
      <c r="AJ248" s="76"/>
      <c r="AK248" s="76"/>
      <c r="AL248" s="76"/>
      <c r="AM248" s="76"/>
      <c r="AN248" s="76"/>
      <c r="AO248" s="76"/>
      <c r="AP248" s="76"/>
    </row>
    <row r="249" spans="5:42" x14ac:dyDescent="0.2">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c r="AI249" s="76"/>
      <c r="AJ249" s="76"/>
      <c r="AK249" s="76"/>
      <c r="AL249" s="76"/>
      <c r="AM249" s="76"/>
      <c r="AN249" s="76"/>
      <c r="AO249" s="76"/>
      <c r="AP249" s="76"/>
    </row>
    <row r="250" spans="5:42" x14ac:dyDescent="0.2">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c r="AI250" s="76"/>
      <c r="AJ250" s="76"/>
      <c r="AK250" s="76"/>
      <c r="AL250" s="76"/>
      <c r="AM250" s="76"/>
      <c r="AN250" s="76"/>
      <c r="AO250" s="76"/>
      <c r="AP250" s="76"/>
    </row>
    <row r="251" spans="5:42" x14ac:dyDescent="0.2">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c r="AI251" s="76"/>
      <c r="AJ251" s="76"/>
      <c r="AK251" s="76"/>
      <c r="AL251" s="76"/>
      <c r="AM251" s="76"/>
      <c r="AN251" s="76"/>
      <c r="AO251" s="76"/>
      <c r="AP251" s="76"/>
    </row>
    <row r="252" spans="5:42" x14ac:dyDescent="0.2">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c r="AL252" s="76"/>
      <c r="AM252" s="76"/>
      <c r="AN252" s="76"/>
      <c r="AO252" s="76"/>
      <c r="AP252" s="76"/>
    </row>
    <row r="253" spans="5:42" x14ac:dyDescent="0.2">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c r="AI253" s="76"/>
      <c r="AJ253" s="76"/>
      <c r="AK253" s="76"/>
      <c r="AL253" s="76"/>
      <c r="AM253" s="76"/>
      <c r="AN253" s="76"/>
      <c r="AO253" s="76"/>
      <c r="AP253" s="76"/>
    </row>
    <row r="254" spans="5:42" x14ac:dyDescent="0.2">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c r="AI254" s="76"/>
      <c r="AJ254" s="76"/>
      <c r="AK254" s="76"/>
      <c r="AL254" s="76"/>
      <c r="AM254" s="76"/>
      <c r="AN254" s="76"/>
      <c r="AO254" s="76"/>
      <c r="AP254" s="76"/>
    </row>
    <row r="255" spans="5:42" x14ac:dyDescent="0.2">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c r="AI255" s="76"/>
      <c r="AJ255" s="76"/>
      <c r="AK255" s="76"/>
      <c r="AL255" s="76"/>
      <c r="AM255" s="76"/>
      <c r="AN255" s="76"/>
      <c r="AO255" s="76"/>
      <c r="AP255" s="76"/>
    </row>
    <row r="256" spans="5:42" x14ac:dyDescent="0.2">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76"/>
      <c r="AK256" s="76"/>
      <c r="AL256" s="76"/>
      <c r="AM256" s="76"/>
      <c r="AN256" s="76"/>
      <c r="AO256" s="76"/>
      <c r="AP256" s="76"/>
    </row>
    <row r="257" spans="5:42" x14ac:dyDescent="0.2">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c r="AH257" s="76"/>
      <c r="AI257" s="76"/>
      <c r="AJ257" s="76"/>
      <c r="AK257" s="76"/>
      <c r="AL257" s="76"/>
      <c r="AM257" s="76"/>
      <c r="AN257" s="76"/>
      <c r="AO257" s="76"/>
      <c r="AP257" s="76"/>
    </row>
    <row r="258" spans="5:42" x14ac:dyDescent="0.2">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c r="AH258" s="76"/>
      <c r="AI258" s="76"/>
      <c r="AJ258" s="76"/>
      <c r="AK258" s="76"/>
      <c r="AL258" s="76"/>
      <c r="AM258" s="76"/>
      <c r="AN258" s="76"/>
      <c r="AO258" s="76"/>
      <c r="AP258" s="76"/>
    </row>
    <row r="259" spans="5:42" x14ac:dyDescent="0.2">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c r="AH259" s="76"/>
      <c r="AI259" s="76"/>
      <c r="AJ259" s="76"/>
      <c r="AK259" s="76"/>
      <c r="AL259" s="76"/>
      <c r="AM259" s="76"/>
      <c r="AN259" s="76"/>
      <c r="AO259" s="76"/>
      <c r="AP259" s="76"/>
    </row>
    <row r="260" spans="5:42" x14ac:dyDescent="0.2">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c r="AH260" s="76"/>
      <c r="AI260" s="76"/>
      <c r="AJ260" s="76"/>
      <c r="AK260" s="76"/>
      <c r="AL260" s="76"/>
      <c r="AM260" s="76"/>
      <c r="AN260" s="76"/>
      <c r="AO260" s="76"/>
      <c r="AP260" s="76"/>
    </row>
    <row r="261" spans="5:42" x14ac:dyDescent="0.2">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c r="AH261" s="76"/>
      <c r="AI261" s="76"/>
      <c r="AJ261" s="76"/>
      <c r="AK261" s="76"/>
      <c r="AL261" s="76"/>
      <c r="AM261" s="76"/>
      <c r="AN261" s="76"/>
      <c r="AO261" s="76"/>
      <c r="AP261" s="76"/>
    </row>
    <row r="262" spans="5:42" x14ac:dyDescent="0.2">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c r="AH262" s="76"/>
      <c r="AI262" s="76"/>
      <c r="AJ262" s="76"/>
      <c r="AK262" s="76"/>
      <c r="AL262" s="76"/>
      <c r="AM262" s="76"/>
      <c r="AN262" s="76"/>
      <c r="AO262" s="76"/>
      <c r="AP262" s="76"/>
    </row>
    <row r="263" spans="5:42" x14ac:dyDescent="0.2">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c r="AJ263" s="76"/>
      <c r="AK263" s="76"/>
      <c r="AL263" s="76"/>
      <c r="AM263" s="76"/>
      <c r="AN263" s="76"/>
      <c r="AO263" s="76"/>
      <c r="AP263" s="76"/>
    </row>
    <row r="264" spans="5:42" x14ac:dyDescent="0.2">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c r="AH264" s="76"/>
      <c r="AI264" s="76"/>
      <c r="AJ264" s="76"/>
      <c r="AK264" s="76"/>
      <c r="AL264" s="76"/>
      <c r="AM264" s="76"/>
      <c r="AN264" s="76"/>
      <c r="AO264" s="76"/>
      <c r="AP264" s="76"/>
    </row>
    <row r="265" spans="5:42" x14ac:dyDescent="0.2">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c r="AH265" s="76"/>
      <c r="AI265" s="76"/>
      <c r="AJ265" s="76"/>
      <c r="AK265" s="76"/>
      <c r="AL265" s="76"/>
      <c r="AM265" s="76"/>
      <c r="AN265" s="76"/>
      <c r="AO265" s="76"/>
      <c r="AP265" s="76"/>
    </row>
    <row r="266" spans="5:42" x14ac:dyDescent="0.2">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c r="AH266" s="76"/>
      <c r="AI266" s="76"/>
      <c r="AJ266" s="76"/>
      <c r="AK266" s="76"/>
      <c r="AL266" s="76"/>
      <c r="AM266" s="76"/>
      <c r="AN266" s="76"/>
      <c r="AO266" s="76"/>
      <c r="AP266" s="76"/>
    </row>
    <row r="267" spans="5:42" x14ac:dyDescent="0.2">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c r="AH267" s="76"/>
      <c r="AI267" s="76"/>
      <c r="AJ267" s="76"/>
      <c r="AK267" s="76"/>
      <c r="AL267" s="76"/>
      <c r="AM267" s="76"/>
      <c r="AN267" s="76"/>
      <c r="AO267" s="76"/>
      <c r="AP267" s="76"/>
    </row>
    <row r="268" spans="5:42" x14ac:dyDescent="0.2">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c r="AH268" s="76"/>
      <c r="AI268" s="76"/>
      <c r="AJ268" s="76"/>
      <c r="AK268" s="76"/>
      <c r="AL268" s="76"/>
      <c r="AM268" s="76"/>
      <c r="AN268" s="76"/>
      <c r="AO268" s="76"/>
      <c r="AP268" s="76"/>
    </row>
    <row r="269" spans="5:42" x14ac:dyDescent="0.2">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c r="AH269" s="76"/>
      <c r="AI269" s="76"/>
      <c r="AJ269" s="76"/>
      <c r="AK269" s="76"/>
      <c r="AL269" s="76"/>
      <c r="AM269" s="76"/>
      <c r="AN269" s="76"/>
      <c r="AO269" s="76"/>
      <c r="AP269" s="76"/>
    </row>
    <row r="270" spans="5:42" x14ac:dyDescent="0.2">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c r="AH270" s="76"/>
      <c r="AI270" s="76"/>
      <c r="AJ270" s="76"/>
      <c r="AK270" s="76"/>
      <c r="AL270" s="76"/>
      <c r="AM270" s="76"/>
      <c r="AN270" s="76"/>
      <c r="AO270" s="76"/>
      <c r="AP270" s="76"/>
    </row>
    <row r="271" spans="5:42" x14ac:dyDescent="0.2">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c r="AH271" s="76"/>
      <c r="AI271" s="76"/>
      <c r="AJ271" s="76"/>
      <c r="AK271" s="76"/>
      <c r="AL271" s="76"/>
      <c r="AM271" s="76"/>
      <c r="AN271" s="76"/>
      <c r="AO271" s="76"/>
      <c r="AP271" s="76"/>
    </row>
    <row r="272" spans="5:42" x14ac:dyDescent="0.2">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76"/>
      <c r="AK272" s="76"/>
      <c r="AL272" s="76"/>
      <c r="AM272" s="76"/>
      <c r="AN272" s="76"/>
      <c r="AO272" s="76"/>
      <c r="AP272" s="76"/>
    </row>
    <row r="273" spans="5:42" x14ac:dyDescent="0.2">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c r="AI273" s="76"/>
      <c r="AJ273" s="76"/>
      <c r="AK273" s="76"/>
      <c r="AL273" s="76"/>
      <c r="AM273" s="76"/>
      <c r="AN273" s="76"/>
      <c r="AO273" s="76"/>
      <c r="AP273" s="76"/>
    </row>
    <row r="274" spans="5:42" x14ac:dyDescent="0.2">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c r="AI274" s="76"/>
      <c r="AJ274" s="76"/>
      <c r="AK274" s="76"/>
      <c r="AL274" s="76"/>
      <c r="AM274" s="76"/>
      <c r="AN274" s="76"/>
      <c r="AO274" s="76"/>
      <c r="AP274" s="76"/>
    </row>
    <row r="275" spans="5:42" x14ac:dyDescent="0.2">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c r="AI275" s="76"/>
      <c r="AJ275" s="76"/>
      <c r="AK275" s="76"/>
      <c r="AL275" s="76"/>
      <c r="AM275" s="76"/>
      <c r="AN275" s="76"/>
      <c r="AO275" s="76"/>
      <c r="AP275" s="76"/>
    </row>
    <row r="276" spans="5:42" x14ac:dyDescent="0.2">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c r="AI276" s="76"/>
      <c r="AJ276" s="76"/>
      <c r="AK276" s="76"/>
      <c r="AL276" s="76"/>
      <c r="AM276" s="76"/>
      <c r="AN276" s="76"/>
      <c r="AO276" s="76"/>
      <c r="AP276" s="76"/>
    </row>
    <row r="277" spans="5:42" x14ac:dyDescent="0.2">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c r="AI277" s="76"/>
      <c r="AJ277" s="76"/>
      <c r="AK277" s="76"/>
      <c r="AL277" s="76"/>
      <c r="AM277" s="76"/>
      <c r="AN277" s="76"/>
      <c r="AO277" s="76"/>
      <c r="AP277" s="76"/>
    </row>
    <row r="278" spans="5:42" x14ac:dyDescent="0.2">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c r="AI278" s="76"/>
      <c r="AJ278" s="76"/>
      <c r="AK278" s="76"/>
      <c r="AL278" s="76"/>
      <c r="AM278" s="76"/>
      <c r="AN278" s="76"/>
      <c r="AO278" s="76"/>
      <c r="AP278" s="76"/>
    </row>
    <row r="279" spans="5:42" x14ac:dyDescent="0.2">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c r="AJ279" s="76"/>
      <c r="AK279" s="76"/>
      <c r="AL279" s="76"/>
      <c r="AM279" s="76"/>
      <c r="AN279" s="76"/>
      <c r="AO279" s="76"/>
      <c r="AP279" s="76"/>
    </row>
    <row r="280" spans="5:42" x14ac:dyDescent="0.2">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c r="AI280" s="76"/>
      <c r="AJ280" s="76"/>
      <c r="AK280" s="76"/>
      <c r="AL280" s="76"/>
      <c r="AM280" s="76"/>
      <c r="AN280" s="76"/>
      <c r="AO280" s="76"/>
      <c r="AP280" s="76"/>
    </row>
    <row r="281" spans="5:42" x14ac:dyDescent="0.2">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c r="AI281" s="76"/>
      <c r="AJ281" s="76"/>
      <c r="AK281" s="76"/>
      <c r="AL281" s="76"/>
      <c r="AM281" s="76"/>
      <c r="AN281" s="76"/>
      <c r="AO281" s="76"/>
      <c r="AP281" s="76"/>
    </row>
    <row r="282" spans="5:42" x14ac:dyDescent="0.2">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c r="AI282" s="76"/>
      <c r="AJ282" s="76"/>
      <c r="AK282" s="76"/>
      <c r="AL282" s="76"/>
      <c r="AM282" s="76"/>
      <c r="AN282" s="76"/>
      <c r="AO282" s="76"/>
      <c r="AP282" s="76"/>
    </row>
    <row r="283" spans="5:42" x14ac:dyDescent="0.2">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c r="AI283" s="76"/>
      <c r="AJ283" s="76"/>
      <c r="AK283" s="76"/>
      <c r="AL283" s="76"/>
      <c r="AM283" s="76"/>
      <c r="AN283" s="76"/>
      <c r="AO283" s="76"/>
      <c r="AP283" s="76"/>
    </row>
    <row r="284" spans="5:42" x14ac:dyDescent="0.2">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c r="AH284" s="76"/>
      <c r="AI284" s="76"/>
      <c r="AJ284" s="76"/>
      <c r="AK284" s="76"/>
      <c r="AL284" s="76"/>
      <c r="AM284" s="76"/>
      <c r="AN284" s="76"/>
      <c r="AO284" s="76"/>
      <c r="AP284" s="76"/>
    </row>
    <row r="285" spans="5:42" x14ac:dyDescent="0.2">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c r="AH285" s="76"/>
      <c r="AI285" s="76"/>
      <c r="AJ285" s="76"/>
      <c r="AK285" s="76"/>
      <c r="AL285" s="76"/>
      <c r="AM285" s="76"/>
      <c r="AN285" s="76"/>
      <c r="AO285" s="76"/>
      <c r="AP285" s="76"/>
    </row>
    <row r="286" spans="5:42" x14ac:dyDescent="0.2">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c r="AH286" s="76"/>
      <c r="AI286" s="76"/>
      <c r="AJ286" s="76"/>
      <c r="AK286" s="76"/>
      <c r="AL286" s="76"/>
      <c r="AM286" s="76"/>
      <c r="AN286" s="76"/>
      <c r="AO286" s="76"/>
      <c r="AP286" s="76"/>
    </row>
    <row r="287" spans="5:42" x14ac:dyDescent="0.2">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c r="AI287" s="76"/>
      <c r="AJ287" s="76"/>
      <c r="AK287" s="76"/>
      <c r="AL287" s="76"/>
      <c r="AM287" s="76"/>
      <c r="AN287" s="76"/>
      <c r="AO287" s="76"/>
      <c r="AP287" s="76"/>
    </row>
    <row r="288" spans="5:42" x14ac:dyDescent="0.2">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c r="AI288" s="76"/>
      <c r="AJ288" s="76"/>
      <c r="AK288" s="76"/>
      <c r="AL288" s="76"/>
      <c r="AM288" s="76"/>
      <c r="AN288" s="76"/>
      <c r="AO288" s="76"/>
      <c r="AP288" s="76"/>
    </row>
    <row r="289" spans="5:42" x14ac:dyDescent="0.2">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c r="AI289" s="76"/>
      <c r="AJ289" s="76"/>
      <c r="AK289" s="76"/>
      <c r="AL289" s="76"/>
      <c r="AM289" s="76"/>
      <c r="AN289" s="76"/>
      <c r="AO289" s="76"/>
      <c r="AP289" s="76"/>
    </row>
    <row r="290" spans="5:42" x14ac:dyDescent="0.2">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c r="AI290" s="76"/>
      <c r="AJ290" s="76"/>
      <c r="AK290" s="76"/>
      <c r="AL290" s="76"/>
      <c r="AM290" s="76"/>
      <c r="AN290" s="76"/>
      <c r="AO290" s="76"/>
      <c r="AP290" s="76"/>
    </row>
    <row r="291" spans="5:42" x14ac:dyDescent="0.2">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c r="AI291" s="76"/>
      <c r="AJ291" s="76"/>
      <c r="AK291" s="76"/>
      <c r="AL291" s="76"/>
      <c r="AM291" s="76"/>
      <c r="AN291" s="76"/>
      <c r="AO291" s="76"/>
      <c r="AP291" s="76"/>
    </row>
    <row r="292" spans="5:42" x14ac:dyDescent="0.2">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c r="AI292" s="76"/>
      <c r="AJ292" s="76"/>
      <c r="AK292" s="76"/>
      <c r="AL292" s="76"/>
      <c r="AM292" s="76"/>
      <c r="AN292" s="76"/>
      <c r="AO292" s="76"/>
      <c r="AP292" s="76"/>
    </row>
    <row r="293" spans="5:42" x14ac:dyDescent="0.2">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c r="AI293" s="76"/>
      <c r="AJ293" s="76"/>
      <c r="AK293" s="76"/>
      <c r="AL293" s="76"/>
      <c r="AM293" s="76"/>
      <c r="AN293" s="76"/>
      <c r="AO293" s="76"/>
      <c r="AP293" s="76"/>
    </row>
    <row r="294" spans="5:42" x14ac:dyDescent="0.2">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c r="AI294" s="76"/>
      <c r="AJ294" s="76"/>
      <c r="AK294" s="76"/>
      <c r="AL294" s="76"/>
      <c r="AM294" s="76"/>
      <c r="AN294" s="76"/>
      <c r="AO294" s="76"/>
      <c r="AP294" s="76"/>
    </row>
    <row r="295" spans="5:42" x14ac:dyDescent="0.2">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c r="AL295" s="76"/>
      <c r="AM295" s="76"/>
      <c r="AN295" s="76"/>
      <c r="AO295" s="76"/>
      <c r="AP295" s="76"/>
    </row>
    <row r="296" spans="5:42" x14ac:dyDescent="0.2">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c r="AI296" s="76"/>
      <c r="AJ296" s="76"/>
      <c r="AK296" s="76"/>
      <c r="AL296" s="76"/>
      <c r="AM296" s="76"/>
      <c r="AN296" s="76"/>
      <c r="AO296" s="76"/>
      <c r="AP296" s="76"/>
    </row>
    <row r="297" spans="5:42" x14ac:dyDescent="0.2">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c r="AH297" s="76"/>
      <c r="AI297" s="76"/>
      <c r="AJ297" s="76"/>
      <c r="AK297" s="76"/>
      <c r="AL297" s="76"/>
      <c r="AM297" s="76"/>
      <c r="AN297" s="76"/>
      <c r="AO297" s="76"/>
      <c r="AP297" s="76"/>
    </row>
    <row r="298" spans="5:42" x14ac:dyDescent="0.2">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c r="AH298" s="76"/>
      <c r="AI298" s="76"/>
      <c r="AJ298" s="76"/>
      <c r="AK298" s="76"/>
      <c r="AL298" s="76"/>
      <c r="AM298" s="76"/>
      <c r="AN298" s="76"/>
      <c r="AO298" s="76"/>
      <c r="AP298" s="76"/>
    </row>
    <row r="299" spans="5:42" x14ac:dyDescent="0.2">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c r="AI299" s="76"/>
      <c r="AJ299" s="76"/>
      <c r="AK299" s="76"/>
      <c r="AL299" s="76"/>
      <c r="AM299" s="76"/>
      <c r="AN299" s="76"/>
      <c r="AO299" s="76"/>
      <c r="AP299" s="76"/>
    </row>
    <row r="300" spans="5:42" x14ac:dyDescent="0.2">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c r="AH300" s="76"/>
      <c r="AI300" s="76"/>
      <c r="AJ300" s="76"/>
      <c r="AK300" s="76"/>
      <c r="AL300" s="76"/>
      <c r="AM300" s="76"/>
      <c r="AN300" s="76"/>
      <c r="AO300" s="76"/>
      <c r="AP300" s="76"/>
    </row>
    <row r="301" spans="5:42" x14ac:dyDescent="0.2">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c r="AI301" s="76"/>
      <c r="AJ301" s="76"/>
      <c r="AK301" s="76"/>
      <c r="AL301" s="76"/>
      <c r="AM301" s="76"/>
      <c r="AN301" s="76"/>
      <c r="AO301" s="76"/>
      <c r="AP301" s="76"/>
    </row>
    <row r="302" spans="5:42" x14ac:dyDescent="0.2">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c r="AI302" s="76"/>
      <c r="AJ302" s="76"/>
      <c r="AK302" s="76"/>
      <c r="AL302" s="76"/>
      <c r="AM302" s="76"/>
      <c r="AN302" s="76"/>
      <c r="AO302" s="76"/>
      <c r="AP302" s="76"/>
    </row>
    <row r="303" spans="5:42" x14ac:dyDescent="0.2">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c r="AI303" s="76"/>
      <c r="AJ303" s="76"/>
      <c r="AK303" s="76"/>
      <c r="AL303" s="76"/>
      <c r="AM303" s="76"/>
      <c r="AN303" s="76"/>
      <c r="AO303" s="76"/>
      <c r="AP303" s="76"/>
    </row>
    <row r="304" spans="5:42" x14ac:dyDescent="0.2">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c r="AI304" s="76"/>
      <c r="AJ304" s="76"/>
      <c r="AK304" s="76"/>
      <c r="AL304" s="76"/>
      <c r="AM304" s="76"/>
      <c r="AN304" s="76"/>
      <c r="AO304" s="76"/>
      <c r="AP304" s="76"/>
    </row>
    <row r="305" spans="5:42" x14ac:dyDescent="0.2">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c r="AI305" s="76"/>
      <c r="AJ305" s="76"/>
      <c r="AK305" s="76"/>
      <c r="AL305" s="76"/>
      <c r="AM305" s="76"/>
      <c r="AN305" s="76"/>
      <c r="AO305" s="76"/>
      <c r="AP305" s="76"/>
    </row>
    <row r="306" spans="5:42" x14ac:dyDescent="0.2">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c r="AI306" s="76"/>
      <c r="AJ306" s="76"/>
      <c r="AK306" s="76"/>
      <c r="AL306" s="76"/>
      <c r="AM306" s="76"/>
      <c r="AN306" s="76"/>
      <c r="AO306" s="76"/>
      <c r="AP306" s="76"/>
    </row>
    <row r="307" spans="5:42" x14ac:dyDescent="0.2">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c r="AI307" s="76"/>
      <c r="AJ307" s="76"/>
      <c r="AK307" s="76"/>
      <c r="AL307" s="76"/>
      <c r="AM307" s="76"/>
      <c r="AN307" s="76"/>
      <c r="AO307" s="76"/>
      <c r="AP307" s="76"/>
    </row>
    <row r="308" spans="5:42" x14ac:dyDescent="0.2">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c r="AI308" s="76"/>
      <c r="AJ308" s="76"/>
      <c r="AK308" s="76"/>
      <c r="AL308" s="76"/>
      <c r="AM308" s="76"/>
      <c r="AN308" s="76"/>
      <c r="AO308" s="76"/>
      <c r="AP308" s="76"/>
    </row>
    <row r="309" spans="5:42" x14ac:dyDescent="0.2">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c r="AI309" s="76"/>
      <c r="AJ309" s="76"/>
      <c r="AK309" s="76"/>
      <c r="AL309" s="76"/>
      <c r="AM309" s="76"/>
      <c r="AN309" s="76"/>
      <c r="AO309" s="76"/>
      <c r="AP309" s="76"/>
    </row>
    <row r="310" spans="5:42" x14ac:dyDescent="0.2">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c r="AI310" s="76"/>
      <c r="AJ310" s="76"/>
      <c r="AK310" s="76"/>
      <c r="AL310" s="76"/>
      <c r="AM310" s="76"/>
      <c r="AN310" s="76"/>
      <c r="AO310" s="76"/>
      <c r="AP310" s="76"/>
    </row>
    <row r="311" spans="5:42" x14ac:dyDescent="0.2">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c r="AI311" s="76"/>
      <c r="AJ311" s="76"/>
      <c r="AK311" s="76"/>
      <c r="AL311" s="76"/>
      <c r="AM311" s="76"/>
      <c r="AN311" s="76"/>
      <c r="AO311" s="76"/>
      <c r="AP311" s="76"/>
    </row>
    <row r="312" spans="5:42" x14ac:dyDescent="0.2">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c r="AI312" s="76"/>
      <c r="AJ312" s="76"/>
      <c r="AK312" s="76"/>
      <c r="AL312" s="76"/>
      <c r="AM312" s="76"/>
      <c r="AN312" s="76"/>
      <c r="AO312" s="76"/>
      <c r="AP312" s="76"/>
    </row>
    <row r="313" spans="5:42" x14ac:dyDescent="0.2">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c r="AI313" s="76"/>
      <c r="AJ313" s="76"/>
      <c r="AK313" s="76"/>
      <c r="AL313" s="76"/>
      <c r="AM313" s="76"/>
      <c r="AN313" s="76"/>
      <c r="AO313" s="76"/>
      <c r="AP313" s="76"/>
    </row>
    <row r="314" spans="5:42" x14ac:dyDescent="0.2">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c r="AI314" s="76"/>
      <c r="AJ314" s="76"/>
      <c r="AK314" s="76"/>
      <c r="AL314" s="76"/>
      <c r="AM314" s="76"/>
      <c r="AN314" s="76"/>
      <c r="AO314" s="76"/>
      <c r="AP314" s="76"/>
    </row>
    <row r="315" spans="5:42" x14ac:dyDescent="0.2">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c r="AH315" s="76"/>
      <c r="AI315" s="76"/>
      <c r="AJ315" s="76"/>
      <c r="AK315" s="76"/>
      <c r="AL315" s="76"/>
      <c r="AM315" s="76"/>
      <c r="AN315" s="76"/>
      <c r="AO315" s="76"/>
      <c r="AP315" s="76"/>
    </row>
    <row r="316" spans="5:42" x14ac:dyDescent="0.2">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c r="AH316" s="76"/>
      <c r="AI316" s="76"/>
      <c r="AJ316" s="76"/>
      <c r="AK316" s="76"/>
      <c r="AL316" s="76"/>
      <c r="AM316" s="76"/>
      <c r="AN316" s="76"/>
      <c r="AO316" s="76"/>
      <c r="AP316" s="76"/>
    </row>
    <row r="317" spans="5:42" x14ac:dyDescent="0.2">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6"/>
      <c r="AI317" s="76"/>
      <c r="AJ317" s="76"/>
      <c r="AK317" s="76"/>
      <c r="AL317" s="76"/>
      <c r="AM317" s="76"/>
      <c r="AN317" s="76"/>
      <c r="AO317" s="76"/>
      <c r="AP317" s="76"/>
    </row>
    <row r="318" spans="5:42" x14ac:dyDescent="0.2">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c r="AI318" s="76"/>
      <c r="AJ318" s="76"/>
      <c r="AK318" s="76"/>
      <c r="AL318" s="76"/>
      <c r="AM318" s="76"/>
      <c r="AN318" s="76"/>
      <c r="AO318" s="76"/>
      <c r="AP318" s="76"/>
    </row>
    <row r="319" spans="5:42" x14ac:dyDescent="0.2">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c r="AI319" s="76"/>
      <c r="AJ319" s="76"/>
      <c r="AK319" s="76"/>
      <c r="AL319" s="76"/>
      <c r="AM319" s="76"/>
      <c r="AN319" s="76"/>
      <c r="AO319" s="76"/>
      <c r="AP319" s="76"/>
    </row>
    <row r="320" spans="5:42" x14ac:dyDescent="0.2">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c r="AI320" s="76"/>
      <c r="AJ320" s="76"/>
      <c r="AK320" s="76"/>
      <c r="AL320" s="76"/>
      <c r="AM320" s="76"/>
      <c r="AN320" s="76"/>
      <c r="AO320" s="76"/>
      <c r="AP320" s="76"/>
    </row>
    <row r="321" spans="5:42" x14ac:dyDescent="0.2">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c r="AI321" s="76"/>
      <c r="AJ321" s="76"/>
      <c r="AK321" s="76"/>
      <c r="AL321" s="76"/>
      <c r="AM321" s="76"/>
      <c r="AN321" s="76"/>
      <c r="AO321" s="76"/>
      <c r="AP321" s="76"/>
    </row>
    <row r="322" spans="5:42" x14ac:dyDescent="0.2">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c r="AI322" s="76"/>
      <c r="AJ322" s="76"/>
      <c r="AK322" s="76"/>
      <c r="AL322" s="76"/>
      <c r="AM322" s="76"/>
      <c r="AN322" s="76"/>
      <c r="AO322" s="76"/>
      <c r="AP322" s="76"/>
    </row>
    <row r="323" spans="5:42" x14ac:dyDescent="0.2">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c r="AI323" s="76"/>
      <c r="AJ323" s="76"/>
      <c r="AK323" s="76"/>
      <c r="AL323" s="76"/>
      <c r="AM323" s="76"/>
      <c r="AN323" s="76"/>
      <c r="AO323" s="76"/>
      <c r="AP323" s="76"/>
    </row>
    <row r="324" spans="5:42" x14ac:dyDescent="0.2">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c r="AI324" s="76"/>
      <c r="AJ324" s="76"/>
      <c r="AK324" s="76"/>
      <c r="AL324" s="76"/>
      <c r="AM324" s="76"/>
      <c r="AN324" s="76"/>
      <c r="AO324" s="76"/>
      <c r="AP324" s="76"/>
    </row>
    <row r="325" spans="5:42" x14ac:dyDescent="0.2">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c r="AI325" s="76"/>
      <c r="AJ325" s="76"/>
      <c r="AK325" s="76"/>
      <c r="AL325" s="76"/>
      <c r="AM325" s="76"/>
      <c r="AN325" s="76"/>
      <c r="AO325" s="76"/>
      <c r="AP325" s="76"/>
    </row>
    <row r="326" spans="5:42" x14ac:dyDescent="0.2">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c r="AI326" s="76"/>
      <c r="AJ326" s="76"/>
      <c r="AK326" s="76"/>
      <c r="AL326" s="76"/>
      <c r="AM326" s="76"/>
      <c r="AN326" s="76"/>
      <c r="AO326" s="76"/>
      <c r="AP326" s="76"/>
    </row>
    <row r="327" spans="5:42" x14ac:dyDescent="0.2">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c r="AI327" s="76"/>
      <c r="AJ327" s="76"/>
      <c r="AK327" s="76"/>
      <c r="AL327" s="76"/>
      <c r="AM327" s="76"/>
      <c r="AN327" s="76"/>
      <c r="AO327" s="76"/>
      <c r="AP327" s="76"/>
    </row>
    <row r="328" spans="5:42" x14ac:dyDescent="0.2">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c r="AI328" s="76"/>
      <c r="AJ328" s="76"/>
      <c r="AK328" s="76"/>
      <c r="AL328" s="76"/>
      <c r="AM328" s="76"/>
      <c r="AN328" s="76"/>
      <c r="AO328" s="76"/>
      <c r="AP328" s="76"/>
    </row>
    <row r="329" spans="5:42" x14ac:dyDescent="0.2">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c r="AI329" s="76"/>
      <c r="AJ329" s="76"/>
      <c r="AK329" s="76"/>
      <c r="AL329" s="76"/>
      <c r="AM329" s="76"/>
      <c r="AN329" s="76"/>
      <c r="AO329" s="76"/>
      <c r="AP329" s="76"/>
    </row>
    <row r="330" spans="5:42" x14ac:dyDescent="0.2">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c r="AI330" s="76"/>
      <c r="AJ330" s="76"/>
      <c r="AK330" s="76"/>
      <c r="AL330" s="76"/>
      <c r="AM330" s="76"/>
      <c r="AN330" s="76"/>
      <c r="AO330" s="76"/>
      <c r="AP330" s="76"/>
    </row>
    <row r="331" spans="5:42" x14ac:dyDescent="0.2">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c r="AI331" s="76"/>
      <c r="AJ331" s="76"/>
      <c r="AK331" s="76"/>
      <c r="AL331" s="76"/>
      <c r="AM331" s="76"/>
      <c r="AN331" s="76"/>
      <c r="AO331" s="76"/>
      <c r="AP331" s="76"/>
    </row>
    <row r="332" spans="5:42" x14ac:dyDescent="0.2">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c r="AJ332" s="76"/>
      <c r="AK332" s="76"/>
      <c r="AL332" s="76"/>
      <c r="AM332" s="76"/>
      <c r="AN332" s="76"/>
      <c r="AO332" s="76"/>
      <c r="AP332" s="76"/>
    </row>
    <row r="333" spans="5:42" x14ac:dyDescent="0.2">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c r="AH333" s="76"/>
      <c r="AI333" s="76"/>
      <c r="AJ333" s="76"/>
      <c r="AK333" s="76"/>
      <c r="AL333" s="76"/>
      <c r="AM333" s="76"/>
      <c r="AN333" s="76"/>
      <c r="AO333" s="76"/>
      <c r="AP333" s="76"/>
    </row>
    <row r="334" spans="5:42" x14ac:dyDescent="0.2">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c r="AH334" s="76"/>
      <c r="AI334" s="76"/>
      <c r="AJ334" s="76"/>
      <c r="AK334" s="76"/>
      <c r="AL334" s="76"/>
      <c r="AM334" s="76"/>
      <c r="AN334" s="76"/>
      <c r="AO334" s="76"/>
      <c r="AP334" s="76"/>
    </row>
    <row r="335" spans="5:42" x14ac:dyDescent="0.2">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c r="AI335" s="76"/>
      <c r="AJ335" s="76"/>
      <c r="AK335" s="76"/>
      <c r="AL335" s="76"/>
      <c r="AM335" s="76"/>
      <c r="AN335" s="76"/>
      <c r="AO335" s="76"/>
      <c r="AP335" s="76"/>
    </row>
    <row r="336" spans="5:42" x14ac:dyDescent="0.2">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c r="AI336" s="76"/>
      <c r="AJ336" s="76"/>
      <c r="AK336" s="76"/>
      <c r="AL336" s="76"/>
      <c r="AM336" s="76"/>
      <c r="AN336" s="76"/>
      <c r="AO336" s="76"/>
      <c r="AP336" s="76"/>
    </row>
    <row r="337" spans="5:42" x14ac:dyDescent="0.2">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c r="AI337" s="76"/>
      <c r="AJ337" s="76"/>
      <c r="AK337" s="76"/>
      <c r="AL337" s="76"/>
      <c r="AM337" s="76"/>
      <c r="AN337" s="76"/>
      <c r="AO337" s="76"/>
      <c r="AP337" s="76"/>
    </row>
    <row r="338" spans="5:42" x14ac:dyDescent="0.2">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c r="AI338" s="76"/>
      <c r="AJ338" s="76"/>
      <c r="AK338" s="76"/>
      <c r="AL338" s="76"/>
      <c r="AM338" s="76"/>
      <c r="AN338" s="76"/>
      <c r="AO338" s="76"/>
      <c r="AP338" s="76"/>
    </row>
    <row r="339" spans="5:42" x14ac:dyDescent="0.2">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c r="AI339" s="76"/>
      <c r="AJ339" s="76"/>
      <c r="AK339" s="76"/>
      <c r="AL339" s="76"/>
      <c r="AM339" s="76"/>
      <c r="AN339" s="76"/>
      <c r="AO339" s="76"/>
      <c r="AP339" s="76"/>
    </row>
    <row r="340" spans="5:42" x14ac:dyDescent="0.2">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c r="AI340" s="76"/>
      <c r="AJ340" s="76"/>
      <c r="AK340" s="76"/>
      <c r="AL340" s="76"/>
      <c r="AM340" s="76"/>
      <c r="AN340" s="76"/>
      <c r="AO340" s="76"/>
      <c r="AP340" s="76"/>
    </row>
    <row r="341" spans="5:42" x14ac:dyDescent="0.2">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c r="AI341" s="76"/>
      <c r="AJ341" s="76"/>
      <c r="AK341" s="76"/>
      <c r="AL341" s="76"/>
      <c r="AM341" s="76"/>
      <c r="AN341" s="76"/>
      <c r="AO341" s="76"/>
      <c r="AP341" s="76"/>
    </row>
    <row r="342" spans="5:42" x14ac:dyDescent="0.2">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c r="AI342" s="76"/>
      <c r="AJ342" s="76"/>
      <c r="AK342" s="76"/>
      <c r="AL342" s="76"/>
      <c r="AM342" s="76"/>
      <c r="AN342" s="76"/>
      <c r="AO342" s="76"/>
      <c r="AP342" s="76"/>
    </row>
    <row r="343" spans="5:42" x14ac:dyDescent="0.2">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c r="AI343" s="76"/>
      <c r="AJ343" s="76"/>
      <c r="AK343" s="76"/>
      <c r="AL343" s="76"/>
      <c r="AM343" s="76"/>
      <c r="AN343" s="76"/>
      <c r="AO343" s="76"/>
      <c r="AP343" s="76"/>
    </row>
    <row r="344" spans="5:42" x14ac:dyDescent="0.2">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c r="AI344" s="76"/>
      <c r="AJ344" s="76"/>
      <c r="AK344" s="76"/>
      <c r="AL344" s="76"/>
      <c r="AM344" s="76"/>
      <c r="AN344" s="76"/>
      <c r="AO344" s="76"/>
      <c r="AP344" s="76"/>
    </row>
    <row r="345" spans="5:42" x14ac:dyDescent="0.2">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c r="AI345" s="76"/>
      <c r="AJ345" s="76"/>
      <c r="AK345" s="76"/>
      <c r="AL345" s="76"/>
      <c r="AM345" s="76"/>
      <c r="AN345" s="76"/>
      <c r="AO345" s="76"/>
      <c r="AP345" s="76"/>
    </row>
    <row r="346" spans="5:42" x14ac:dyDescent="0.2">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c r="AI346" s="76"/>
      <c r="AJ346" s="76"/>
      <c r="AK346" s="76"/>
      <c r="AL346" s="76"/>
      <c r="AM346" s="76"/>
      <c r="AN346" s="76"/>
      <c r="AO346" s="76"/>
      <c r="AP346" s="76"/>
    </row>
    <row r="347" spans="5:42" x14ac:dyDescent="0.2">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c r="AI347" s="76"/>
      <c r="AJ347" s="76"/>
      <c r="AK347" s="76"/>
      <c r="AL347" s="76"/>
      <c r="AM347" s="76"/>
      <c r="AN347" s="76"/>
      <c r="AO347" s="76"/>
      <c r="AP347" s="76"/>
    </row>
    <row r="348" spans="5:42" x14ac:dyDescent="0.2">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c r="AI348" s="76"/>
      <c r="AJ348" s="76"/>
      <c r="AK348" s="76"/>
      <c r="AL348" s="76"/>
      <c r="AM348" s="76"/>
      <c r="AN348" s="76"/>
      <c r="AO348" s="76"/>
      <c r="AP348" s="76"/>
    </row>
    <row r="349" spans="5:42" x14ac:dyDescent="0.2">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c r="AI349" s="76"/>
      <c r="AJ349" s="76"/>
      <c r="AK349" s="76"/>
      <c r="AL349" s="76"/>
      <c r="AM349" s="76"/>
      <c r="AN349" s="76"/>
      <c r="AO349" s="76"/>
      <c r="AP349" s="76"/>
    </row>
    <row r="350" spans="5:42" x14ac:dyDescent="0.2">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c r="AH350" s="76"/>
      <c r="AI350" s="76"/>
      <c r="AJ350" s="76"/>
      <c r="AK350" s="76"/>
      <c r="AL350" s="76"/>
      <c r="AM350" s="76"/>
      <c r="AN350" s="76"/>
      <c r="AO350" s="76"/>
      <c r="AP350" s="76"/>
    </row>
    <row r="351" spans="5:42" x14ac:dyDescent="0.2">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c r="AH351" s="76"/>
      <c r="AI351" s="76"/>
      <c r="AJ351" s="76"/>
      <c r="AK351" s="76"/>
      <c r="AL351" s="76"/>
      <c r="AM351" s="76"/>
      <c r="AN351" s="76"/>
      <c r="AO351" s="76"/>
      <c r="AP351" s="76"/>
    </row>
    <row r="352" spans="5:42" x14ac:dyDescent="0.2">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c r="AH352" s="76"/>
      <c r="AI352" s="76"/>
      <c r="AJ352" s="76"/>
      <c r="AK352" s="76"/>
      <c r="AL352" s="76"/>
      <c r="AM352" s="76"/>
      <c r="AN352" s="76"/>
      <c r="AO352" s="76"/>
      <c r="AP352" s="76"/>
    </row>
    <row r="353" spans="5:42" x14ac:dyDescent="0.2">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c r="AH353" s="76"/>
      <c r="AI353" s="76"/>
      <c r="AJ353" s="76"/>
      <c r="AK353" s="76"/>
      <c r="AL353" s="76"/>
      <c r="AM353" s="76"/>
      <c r="AN353" s="76"/>
      <c r="AO353" s="76"/>
      <c r="AP353" s="76"/>
    </row>
    <row r="354" spans="5:42" x14ac:dyDescent="0.2">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c r="AH354" s="76"/>
      <c r="AI354" s="76"/>
      <c r="AJ354" s="76"/>
      <c r="AK354" s="76"/>
      <c r="AL354" s="76"/>
      <c r="AM354" s="76"/>
      <c r="AN354" s="76"/>
      <c r="AO354" s="76"/>
      <c r="AP354" s="76"/>
    </row>
    <row r="355" spans="5:42" x14ac:dyDescent="0.2">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c r="AH355" s="76"/>
      <c r="AI355" s="76"/>
      <c r="AJ355" s="76"/>
      <c r="AK355" s="76"/>
      <c r="AL355" s="76"/>
      <c r="AM355" s="76"/>
      <c r="AN355" s="76"/>
      <c r="AO355" s="76"/>
      <c r="AP355" s="76"/>
    </row>
    <row r="356" spans="5:42" x14ac:dyDescent="0.2">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c r="AH356" s="76"/>
      <c r="AI356" s="76"/>
      <c r="AJ356" s="76"/>
      <c r="AK356" s="76"/>
      <c r="AL356" s="76"/>
      <c r="AM356" s="76"/>
      <c r="AN356" s="76"/>
      <c r="AO356" s="76"/>
      <c r="AP356" s="76"/>
    </row>
    <row r="357" spans="5:42" x14ac:dyDescent="0.2">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c r="AH357" s="76"/>
      <c r="AI357" s="76"/>
      <c r="AJ357" s="76"/>
      <c r="AK357" s="76"/>
      <c r="AL357" s="76"/>
      <c r="AM357" s="76"/>
      <c r="AN357" s="76"/>
      <c r="AO357" s="76"/>
      <c r="AP357" s="76"/>
    </row>
    <row r="358" spans="5:42" x14ac:dyDescent="0.2">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c r="AI358" s="76"/>
      <c r="AJ358" s="76"/>
      <c r="AK358" s="76"/>
      <c r="AL358" s="76"/>
      <c r="AM358" s="76"/>
      <c r="AN358" s="76"/>
      <c r="AO358" s="76"/>
      <c r="AP358" s="76"/>
    </row>
    <row r="359" spans="5:42" x14ac:dyDescent="0.2">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c r="AI359" s="76"/>
      <c r="AJ359" s="76"/>
      <c r="AK359" s="76"/>
      <c r="AL359" s="76"/>
      <c r="AM359" s="76"/>
      <c r="AN359" s="76"/>
      <c r="AO359" s="76"/>
      <c r="AP359" s="76"/>
    </row>
    <row r="360" spans="5:42" x14ac:dyDescent="0.2">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c r="AI360" s="76"/>
      <c r="AJ360" s="76"/>
      <c r="AK360" s="76"/>
      <c r="AL360" s="76"/>
      <c r="AM360" s="76"/>
      <c r="AN360" s="76"/>
      <c r="AO360" s="76"/>
      <c r="AP360" s="76"/>
    </row>
    <row r="361" spans="5:42" x14ac:dyDescent="0.2">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c r="AI361" s="76"/>
      <c r="AJ361" s="76"/>
      <c r="AK361" s="76"/>
      <c r="AL361" s="76"/>
      <c r="AM361" s="76"/>
      <c r="AN361" s="76"/>
      <c r="AO361" s="76"/>
      <c r="AP361" s="76"/>
    </row>
    <row r="362" spans="5:42" x14ac:dyDescent="0.2">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c r="AI362" s="76"/>
      <c r="AJ362" s="76"/>
      <c r="AK362" s="76"/>
      <c r="AL362" s="76"/>
      <c r="AM362" s="76"/>
      <c r="AN362" s="76"/>
      <c r="AO362" s="76"/>
      <c r="AP362" s="76"/>
    </row>
    <row r="363" spans="5:42" x14ac:dyDescent="0.2">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c r="AI363" s="76"/>
      <c r="AJ363" s="76"/>
      <c r="AK363" s="76"/>
      <c r="AL363" s="76"/>
      <c r="AM363" s="76"/>
      <c r="AN363" s="76"/>
      <c r="AO363" s="76"/>
      <c r="AP363" s="76"/>
    </row>
    <row r="364" spans="5:42" x14ac:dyDescent="0.2">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c r="AI364" s="76"/>
      <c r="AJ364" s="76"/>
      <c r="AK364" s="76"/>
      <c r="AL364" s="76"/>
      <c r="AM364" s="76"/>
      <c r="AN364" s="76"/>
      <c r="AO364" s="76"/>
      <c r="AP364" s="76"/>
    </row>
    <row r="365" spans="5:42" x14ac:dyDescent="0.2">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c r="AI365" s="76"/>
      <c r="AJ365" s="76"/>
      <c r="AK365" s="76"/>
      <c r="AL365" s="76"/>
      <c r="AM365" s="76"/>
      <c r="AN365" s="76"/>
      <c r="AO365" s="76"/>
      <c r="AP365" s="76"/>
    </row>
    <row r="366" spans="5:42" x14ac:dyDescent="0.2">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c r="AI366" s="76"/>
      <c r="AJ366" s="76"/>
      <c r="AK366" s="76"/>
      <c r="AL366" s="76"/>
      <c r="AM366" s="76"/>
      <c r="AN366" s="76"/>
      <c r="AO366" s="76"/>
      <c r="AP366" s="76"/>
    </row>
    <row r="367" spans="5:42" x14ac:dyDescent="0.2">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c r="AI367" s="76"/>
      <c r="AJ367" s="76"/>
      <c r="AK367" s="76"/>
      <c r="AL367" s="76"/>
      <c r="AM367" s="76"/>
      <c r="AN367" s="76"/>
      <c r="AO367" s="76"/>
      <c r="AP367" s="76"/>
    </row>
    <row r="368" spans="5:42" x14ac:dyDescent="0.2">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c r="AI368" s="76"/>
      <c r="AJ368" s="76"/>
      <c r="AK368" s="76"/>
      <c r="AL368" s="76"/>
      <c r="AM368" s="76"/>
      <c r="AN368" s="76"/>
      <c r="AO368" s="76"/>
      <c r="AP368" s="76"/>
    </row>
    <row r="369" spans="5:42" x14ac:dyDescent="0.2">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c r="AI369" s="76"/>
      <c r="AJ369" s="76"/>
      <c r="AK369" s="76"/>
      <c r="AL369" s="76"/>
      <c r="AM369" s="76"/>
      <c r="AN369" s="76"/>
      <c r="AO369" s="76"/>
      <c r="AP369" s="76"/>
    </row>
    <row r="370" spans="5:42" x14ac:dyDescent="0.2">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c r="AI370" s="76"/>
      <c r="AJ370" s="76"/>
      <c r="AK370" s="76"/>
      <c r="AL370" s="76"/>
      <c r="AM370" s="76"/>
      <c r="AN370" s="76"/>
      <c r="AO370" s="76"/>
      <c r="AP370" s="76"/>
    </row>
    <row r="371" spans="5:42" x14ac:dyDescent="0.2">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c r="AI371" s="76"/>
      <c r="AJ371" s="76"/>
      <c r="AK371" s="76"/>
      <c r="AL371" s="76"/>
      <c r="AM371" s="76"/>
      <c r="AN371" s="76"/>
      <c r="AO371" s="76"/>
      <c r="AP371" s="76"/>
    </row>
    <row r="372" spans="5:42" x14ac:dyDescent="0.2">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c r="AI372" s="76"/>
      <c r="AJ372" s="76"/>
      <c r="AK372" s="76"/>
      <c r="AL372" s="76"/>
      <c r="AM372" s="76"/>
      <c r="AN372" s="76"/>
      <c r="AO372" s="76"/>
      <c r="AP372" s="76"/>
    </row>
    <row r="373" spans="5:42" x14ac:dyDescent="0.2">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c r="AI373" s="76"/>
      <c r="AJ373" s="76"/>
      <c r="AK373" s="76"/>
      <c r="AL373" s="76"/>
      <c r="AM373" s="76"/>
      <c r="AN373" s="76"/>
      <c r="AO373" s="76"/>
      <c r="AP373" s="76"/>
    </row>
    <row r="374" spans="5:42" x14ac:dyDescent="0.2">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c r="AI374" s="76"/>
      <c r="AJ374" s="76"/>
      <c r="AK374" s="76"/>
      <c r="AL374" s="76"/>
      <c r="AM374" s="76"/>
      <c r="AN374" s="76"/>
      <c r="AO374" s="76"/>
      <c r="AP374" s="76"/>
    </row>
    <row r="375" spans="5:42" x14ac:dyDescent="0.2">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c r="AI375" s="76"/>
      <c r="AJ375" s="76"/>
      <c r="AK375" s="76"/>
      <c r="AL375" s="76"/>
      <c r="AM375" s="76"/>
      <c r="AN375" s="76"/>
      <c r="AO375" s="76"/>
      <c r="AP375" s="76"/>
    </row>
    <row r="376" spans="5:42" x14ac:dyDescent="0.2">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c r="AI376" s="76"/>
      <c r="AJ376" s="76"/>
      <c r="AK376" s="76"/>
      <c r="AL376" s="76"/>
      <c r="AM376" s="76"/>
      <c r="AN376" s="76"/>
      <c r="AO376" s="76"/>
      <c r="AP376" s="76"/>
    </row>
    <row r="377" spans="5:42" x14ac:dyDescent="0.2">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c r="AI377" s="76"/>
      <c r="AJ377" s="76"/>
      <c r="AK377" s="76"/>
      <c r="AL377" s="76"/>
      <c r="AM377" s="76"/>
      <c r="AN377" s="76"/>
      <c r="AO377" s="76"/>
      <c r="AP377" s="76"/>
    </row>
    <row r="378" spans="5:42" x14ac:dyDescent="0.2">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c r="AI378" s="76"/>
      <c r="AJ378" s="76"/>
      <c r="AK378" s="76"/>
      <c r="AL378" s="76"/>
      <c r="AM378" s="76"/>
      <c r="AN378" s="76"/>
      <c r="AO378" s="76"/>
      <c r="AP378" s="76"/>
    </row>
    <row r="379" spans="5:42" x14ac:dyDescent="0.2">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c r="AI379" s="76"/>
      <c r="AJ379" s="76"/>
      <c r="AK379" s="76"/>
      <c r="AL379" s="76"/>
      <c r="AM379" s="76"/>
      <c r="AN379" s="76"/>
      <c r="AO379" s="76"/>
      <c r="AP379" s="76"/>
    </row>
    <row r="380" spans="5:42" x14ac:dyDescent="0.2">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c r="AI380" s="76"/>
      <c r="AJ380" s="76"/>
      <c r="AK380" s="76"/>
      <c r="AL380" s="76"/>
      <c r="AM380" s="76"/>
      <c r="AN380" s="76"/>
      <c r="AO380" s="76"/>
      <c r="AP380" s="76"/>
    </row>
    <row r="381" spans="5:42" x14ac:dyDescent="0.2">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c r="AI381" s="76"/>
      <c r="AJ381" s="76"/>
      <c r="AK381" s="76"/>
      <c r="AL381" s="76"/>
      <c r="AM381" s="76"/>
      <c r="AN381" s="76"/>
      <c r="AO381" s="76"/>
      <c r="AP381" s="76"/>
    </row>
    <row r="382" spans="5:42" x14ac:dyDescent="0.2">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c r="AI382" s="76"/>
      <c r="AJ382" s="76"/>
      <c r="AK382" s="76"/>
      <c r="AL382" s="76"/>
      <c r="AM382" s="76"/>
      <c r="AN382" s="76"/>
      <c r="AO382" s="76"/>
      <c r="AP382" s="76"/>
    </row>
    <row r="383" spans="5:42" x14ac:dyDescent="0.2">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c r="AI383" s="76"/>
      <c r="AJ383" s="76"/>
      <c r="AK383" s="76"/>
      <c r="AL383" s="76"/>
      <c r="AM383" s="76"/>
      <c r="AN383" s="76"/>
      <c r="AO383" s="76"/>
      <c r="AP383" s="76"/>
    </row>
    <row r="384" spans="5:42" x14ac:dyDescent="0.2">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c r="AI384" s="76"/>
      <c r="AJ384" s="76"/>
      <c r="AK384" s="76"/>
      <c r="AL384" s="76"/>
      <c r="AM384" s="76"/>
      <c r="AN384" s="76"/>
      <c r="AO384" s="76"/>
      <c r="AP384" s="76"/>
    </row>
    <row r="385" spans="5:42" x14ac:dyDescent="0.2">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c r="AI385" s="76"/>
      <c r="AJ385" s="76"/>
      <c r="AK385" s="76"/>
      <c r="AL385" s="76"/>
      <c r="AM385" s="76"/>
      <c r="AN385" s="76"/>
      <c r="AO385" s="76"/>
      <c r="AP385" s="76"/>
    </row>
    <row r="386" spans="5:42" x14ac:dyDescent="0.2">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c r="AI386" s="76"/>
      <c r="AJ386" s="76"/>
      <c r="AK386" s="76"/>
      <c r="AL386" s="76"/>
      <c r="AM386" s="76"/>
      <c r="AN386" s="76"/>
      <c r="AO386" s="76"/>
      <c r="AP386" s="76"/>
    </row>
    <row r="387" spans="5:42" x14ac:dyDescent="0.2">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c r="AI387" s="76"/>
      <c r="AJ387" s="76"/>
      <c r="AK387" s="76"/>
      <c r="AL387" s="76"/>
      <c r="AM387" s="76"/>
      <c r="AN387" s="76"/>
      <c r="AO387" s="76"/>
      <c r="AP387" s="76"/>
    </row>
    <row r="388" spans="5:42" x14ac:dyDescent="0.2">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c r="AI388" s="76"/>
      <c r="AJ388" s="76"/>
      <c r="AK388" s="76"/>
      <c r="AL388" s="76"/>
      <c r="AM388" s="76"/>
      <c r="AN388" s="76"/>
      <c r="AO388" s="76"/>
      <c r="AP388" s="76"/>
    </row>
    <row r="389" spans="5:42" x14ac:dyDescent="0.2">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c r="AI389" s="76"/>
      <c r="AJ389" s="76"/>
      <c r="AK389" s="76"/>
      <c r="AL389" s="76"/>
      <c r="AM389" s="76"/>
      <c r="AN389" s="76"/>
      <c r="AO389" s="76"/>
      <c r="AP389" s="76"/>
    </row>
    <row r="390" spans="5:42" x14ac:dyDescent="0.2">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c r="AI390" s="76"/>
      <c r="AJ390" s="76"/>
      <c r="AK390" s="76"/>
      <c r="AL390" s="76"/>
      <c r="AM390" s="76"/>
      <c r="AN390" s="76"/>
      <c r="AO390" s="76"/>
      <c r="AP390" s="76"/>
    </row>
    <row r="391" spans="5:42" x14ac:dyDescent="0.2">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c r="AI391" s="76"/>
      <c r="AJ391" s="76"/>
      <c r="AK391" s="76"/>
      <c r="AL391" s="76"/>
      <c r="AM391" s="76"/>
      <c r="AN391" s="76"/>
      <c r="AO391" s="76"/>
      <c r="AP391" s="76"/>
    </row>
    <row r="392" spans="5:42" x14ac:dyDescent="0.2">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c r="AI392" s="76"/>
      <c r="AJ392" s="76"/>
      <c r="AK392" s="76"/>
      <c r="AL392" s="76"/>
      <c r="AM392" s="76"/>
      <c r="AN392" s="76"/>
      <c r="AO392" s="76"/>
      <c r="AP392" s="76"/>
    </row>
    <row r="393" spans="5:42" x14ac:dyDescent="0.2">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c r="AI393" s="76"/>
      <c r="AJ393" s="76"/>
      <c r="AK393" s="76"/>
      <c r="AL393" s="76"/>
      <c r="AM393" s="76"/>
      <c r="AN393" s="76"/>
      <c r="AO393" s="76"/>
      <c r="AP393" s="76"/>
    </row>
    <row r="394" spans="5:42" x14ac:dyDescent="0.2">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c r="AI394" s="76"/>
      <c r="AJ394" s="76"/>
      <c r="AK394" s="76"/>
      <c r="AL394" s="76"/>
      <c r="AM394" s="76"/>
      <c r="AN394" s="76"/>
      <c r="AO394" s="76"/>
      <c r="AP394" s="76"/>
    </row>
    <row r="395" spans="5:42" x14ac:dyDescent="0.2">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c r="AI395" s="76"/>
      <c r="AJ395" s="76"/>
      <c r="AK395" s="76"/>
      <c r="AL395" s="76"/>
      <c r="AM395" s="76"/>
      <c r="AN395" s="76"/>
      <c r="AO395" s="76"/>
      <c r="AP395" s="76"/>
    </row>
    <row r="396" spans="5:42" x14ac:dyDescent="0.2">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c r="AI396" s="76"/>
      <c r="AJ396" s="76"/>
      <c r="AK396" s="76"/>
      <c r="AL396" s="76"/>
      <c r="AM396" s="76"/>
      <c r="AN396" s="76"/>
      <c r="AO396" s="76"/>
      <c r="AP396" s="76"/>
    </row>
    <row r="397" spans="5:42" x14ac:dyDescent="0.2">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c r="AI397" s="76"/>
      <c r="AJ397" s="76"/>
      <c r="AK397" s="76"/>
      <c r="AL397" s="76"/>
      <c r="AM397" s="76"/>
      <c r="AN397" s="76"/>
      <c r="AO397" s="76"/>
      <c r="AP397" s="76"/>
    </row>
    <row r="398" spans="5:42" x14ac:dyDescent="0.2">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c r="AI398" s="76"/>
      <c r="AJ398" s="76"/>
      <c r="AK398" s="76"/>
      <c r="AL398" s="76"/>
      <c r="AM398" s="76"/>
      <c r="AN398" s="76"/>
      <c r="AO398" s="76"/>
      <c r="AP398" s="76"/>
    </row>
    <row r="399" spans="5:42" x14ac:dyDescent="0.2">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c r="AI399" s="76"/>
      <c r="AJ399" s="76"/>
      <c r="AK399" s="76"/>
      <c r="AL399" s="76"/>
      <c r="AM399" s="76"/>
      <c r="AN399" s="76"/>
      <c r="AO399" s="76"/>
      <c r="AP399" s="76"/>
    </row>
    <row r="400" spans="5:42" x14ac:dyDescent="0.2">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c r="AI400" s="76"/>
      <c r="AJ400" s="76"/>
      <c r="AK400" s="76"/>
      <c r="AL400" s="76"/>
      <c r="AM400" s="76"/>
      <c r="AN400" s="76"/>
      <c r="AO400" s="76"/>
      <c r="AP400" s="76"/>
    </row>
    <row r="401" spans="5:42" x14ac:dyDescent="0.2">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c r="AI401" s="76"/>
      <c r="AJ401" s="76"/>
      <c r="AK401" s="76"/>
      <c r="AL401" s="76"/>
      <c r="AM401" s="76"/>
      <c r="AN401" s="76"/>
      <c r="AO401" s="76"/>
      <c r="AP401" s="76"/>
    </row>
    <row r="402" spans="5:42" x14ac:dyDescent="0.2">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c r="AI402" s="76"/>
      <c r="AJ402" s="76"/>
      <c r="AK402" s="76"/>
      <c r="AL402" s="76"/>
      <c r="AM402" s="76"/>
      <c r="AN402" s="76"/>
      <c r="AO402" s="76"/>
      <c r="AP402" s="76"/>
    </row>
    <row r="403" spans="5:42" x14ac:dyDescent="0.2">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c r="AI403" s="76"/>
      <c r="AJ403" s="76"/>
      <c r="AK403" s="76"/>
      <c r="AL403" s="76"/>
      <c r="AM403" s="76"/>
      <c r="AN403" s="76"/>
      <c r="AO403" s="76"/>
      <c r="AP403" s="76"/>
    </row>
    <row r="404" spans="5:42" x14ac:dyDescent="0.2">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c r="AI404" s="76"/>
      <c r="AJ404" s="76"/>
      <c r="AK404" s="76"/>
      <c r="AL404" s="76"/>
      <c r="AM404" s="76"/>
      <c r="AN404" s="76"/>
      <c r="AO404" s="76"/>
      <c r="AP404" s="76"/>
    </row>
    <row r="405" spans="5:42" x14ac:dyDescent="0.2">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c r="AI405" s="76"/>
      <c r="AJ405" s="76"/>
      <c r="AK405" s="76"/>
      <c r="AL405" s="76"/>
      <c r="AM405" s="76"/>
      <c r="AN405" s="76"/>
      <c r="AO405" s="76"/>
      <c r="AP405" s="76"/>
    </row>
    <row r="406" spans="5:42" x14ac:dyDescent="0.2">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c r="AI406" s="76"/>
      <c r="AJ406" s="76"/>
      <c r="AK406" s="76"/>
      <c r="AL406" s="76"/>
      <c r="AM406" s="76"/>
      <c r="AN406" s="76"/>
      <c r="AO406" s="76"/>
      <c r="AP406" s="76"/>
    </row>
    <row r="407" spans="5:42" x14ac:dyDescent="0.2">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c r="AI407" s="76"/>
      <c r="AJ407" s="76"/>
      <c r="AK407" s="76"/>
      <c r="AL407" s="76"/>
      <c r="AM407" s="76"/>
      <c r="AN407" s="76"/>
      <c r="AO407" s="76"/>
      <c r="AP407" s="76"/>
    </row>
    <row r="408" spans="5:42" x14ac:dyDescent="0.2">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c r="AI408" s="76"/>
      <c r="AJ408" s="76"/>
      <c r="AK408" s="76"/>
      <c r="AL408" s="76"/>
      <c r="AM408" s="76"/>
      <c r="AN408" s="76"/>
      <c r="AO408" s="76"/>
      <c r="AP408" s="76"/>
    </row>
    <row r="409" spans="5:42" x14ac:dyDescent="0.2">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c r="AI409" s="76"/>
      <c r="AJ409" s="76"/>
      <c r="AK409" s="76"/>
      <c r="AL409" s="76"/>
      <c r="AM409" s="76"/>
      <c r="AN409" s="76"/>
      <c r="AO409" s="76"/>
      <c r="AP409" s="76"/>
    </row>
    <row r="410" spans="5:42" x14ac:dyDescent="0.2">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c r="AI410" s="76"/>
      <c r="AJ410" s="76"/>
      <c r="AK410" s="76"/>
      <c r="AL410" s="76"/>
      <c r="AM410" s="76"/>
      <c r="AN410" s="76"/>
      <c r="AO410" s="76"/>
      <c r="AP410" s="76"/>
    </row>
    <row r="411" spans="5:42" x14ac:dyDescent="0.2">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c r="AI411" s="76"/>
      <c r="AJ411" s="76"/>
      <c r="AK411" s="76"/>
      <c r="AL411" s="76"/>
      <c r="AM411" s="76"/>
      <c r="AN411" s="76"/>
      <c r="AO411" s="76"/>
      <c r="AP411" s="76"/>
    </row>
    <row r="412" spans="5:42" x14ac:dyDescent="0.2">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c r="AI412" s="76"/>
      <c r="AJ412" s="76"/>
      <c r="AK412" s="76"/>
      <c r="AL412" s="76"/>
      <c r="AM412" s="76"/>
      <c r="AN412" s="76"/>
      <c r="AO412" s="76"/>
      <c r="AP412" s="76"/>
    </row>
    <row r="413" spans="5:42" x14ac:dyDescent="0.2">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c r="AI413" s="76"/>
      <c r="AJ413" s="76"/>
      <c r="AK413" s="76"/>
      <c r="AL413" s="76"/>
      <c r="AM413" s="76"/>
      <c r="AN413" s="76"/>
      <c r="AO413" s="76"/>
      <c r="AP413" s="76"/>
    </row>
    <row r="414" spans="5:42" x14ac:dyDescent="0.2">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c r="AI414" s="76"/>
      <c r="AJ414" s="76"/>
      <c r="AK414" s="76"/>
      <c r="AL414" s="76"/>
      <c r="AM414" s="76"/>
      <c r="AN414" s="76"/>
      <c r="AO414" s="76"/>
      <c r="AP414" s="76"/>
    </row>
    <row r="415" spans="5:42" x14ac:dyDescent="0.2">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76"/>
      <c r="AI415" s="76"/>
      <c r="AJ415" s="76"/>
      <c r="AK415" s="76"/>
      <c r="AL415" s="76"/>
      <c r="AM415" s="76"/>
      <c r="AN415" s="76"/>
      <c r="AO415" s="76"/>
      <c r="AP415" s="76"/>
    </row>
    <row r="416" spans="5:42" x14ac:dyDescent="0.2">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76"/>
      <c r="AI416" s="76"/>
      <c r="AJ416" s="76"/>
      <c r="AK416" s="76"/>
      <c r="AL416" s="76"/>
      <c r="AM416" s="76"/>
      <c r="AN416" s="76"/>
      <c r="AO416" s="76"/>
      <c r="AP416" s="76"/>
    </row>
    <row r="417" spans="5:42" x14ac:dyDescent="0.2">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c r="AH417" s="76"/>
      <c r="AI417" s="76"/>
      <c r="AJ417" s="76"/>
      <c r="AK417" s="76"/>
      <c r="AL417" s="76"/>
      <c r="AM417" s="76"/>
      <c r="AN417" s="76"/>
      <c r="AO417" s="76"/>
      <c r="AP417" s="76"/>
    </row>
    <row r="418" spans="5:42" x14ac:dyDescent="0.2">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c r="AH418" s="76"/>
      <c r="AI418" s="76"/>
      <c r="AJ418" s="76"/>
      <c r="AK418" s="76"/>
      <c r="AL418" s="76"/>
      <c r="AM418" s="76"/>
      <c r="AN418" s="76"/>
      <c r="AO418" s="76"/>
      <c r="AP418" s="76"/>
    </row>
    <row r="419" spans="5:42" x14ac:dyDescent="0.2">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c r="AH419" s="76"/>
      <c r="AI419" s="76"/>
      <c r="AJ419" s="76"/>
      <c r="AK419" s="76"/>
      <c r="AL419" s="76"/>
      <c r="AM419" s="76"/>
      <c r="AN419" s="76"/>
      <c r="AO419" s="76"/>
      <c r="AP419" s="76"/>
    </row>
    <row r="420" spans="5:42" x14ac:dyDescent="0.2">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c r="AH420" s="76"/>
      <c r="AI420" s="76"/>
      <c r="AJ420" s="76"/>
      <c r="AK420" s="76"/>
      <c r="AL420" s="76"/>
      <c r="AM420" s="76"/>
      <c r="AN420" s="76"/>
      <c r="AO420" s="76"/>
      <c r="AP420" s="76"/>
    </row>
    <row r="421" spans="5:42" x14ac:dyDescent="0.2">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c r="AH421" s="76"/>
      <c r="AI421" s="76"/>
      <c r="AJ421" s="76"/>
      <c r="AK421" s="76"/>
      <c r="AL421" s="76"/>
      <c r="AM421" s="76"/>
      <c r="AN421" s="76"/>
      <c r="AO421" s="76"/>
      <c r="AP421" s="76"/>
    </row>
    <row r="422" spans="5:42" x14ac:dyDescent="0.2">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c r="AH422" s="76"/>
      <c r="AI422" s="76"/>
      <c r="AJ422" s="76"/>
      <c r="AK422" s="76"/>
      <c r="AL422" s="76"/>
      <c r="AM422" s="76"/>
      <c r="AN422" s="76"/>
      <c r="AO422" s="76"/>
      <c r="AP422" s="76"/>
    </row>
    <row r="423" spans="5:42" x14ac:dyDescent="0.2">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c r="AH423" s="76"/>
      <c r="AI423" s="76"/>
      <c r="AJ423" s="76"/>
      <c r="AK423" s="76"/>
      <c r="AL423" s="76"/>
      <c r="AM423" s="76"/>
      <c r="AN423" s="76"/>
      <c r="AO423" s="76"/>
      <c r="AP423" s="76"/>
    </row>
    <row r="424" spans="5:42" x14ac:dyDescent="0.2">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c r="AH424" s="76"/>
      <c r="AI424" s="76"/>
      <c r="AJ424" s="76"/>
      <c r="AK424" s="76"/>
      <c r="AL424" s="76"/>
      <c r="AM424" s="76"/>
      <c r="AN424" s="76"/>
      <c r="AO424" s="76"/>
      <c r="AP424" s="76"/>
    </row>
    <row r="425" spans="5:42" x14ac:dyDescent="0.2">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c r="AH425" s="76"/>
      <c r="AI425" s="76"/>
      <c r="AJ425" s="76"/>
      <c r="AK425" s="76"/>
      <c r="AL425" s="76"/>
      <c r="AM425" s="76"/>
      <c r="AN425" s="76"/>
      <c r="AO425" s="76"/>
      <c r="AP425" s="76"/>
    </row>
    <row r="426" spans="5:42" x14ac:dyDescent="0.2">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c r="AH426" s="76"/>
      <c r="AI426" s="76"/>
      <c r="AJ426" s="76"/>
      <c r="AK426" s="76"/>
      <c r="AL426" s="76"/>
      <c r="AM426" s="76"/>
      <c r="AN426" s="76"/>
      <c r="AO426" s="76"/>
      <c r="AP426" s="76"/>
    </row>
    <row r="427" spans="5:42" x14ac:dyDescent="0.2">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c r="AH427" s="76"/>
      <c r="AI427" s="76"/>
      <c r="AJ427" s="76"/>
      <c r="AK427" s="76"/>
      <c r="AL427" s="76"/>
      <c r="AM427" s="76"/>
      <c r="AN427" s="76"/>
      <c r="AO427" s="76"/>
      <c r="AP427" s="76"/>
    </row>
    <row r="428" spans="5:42" x14ac:dyDescent="0.2">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c r="AH428" s="76"/>
      <c r="AI428" s="76"/>
      <c r="AJ428" s="76"/>
      <c r="AK428" s="76"/>
      <c r="AL428" s="76"/>
      <c r="AM428" s="76"/>
      <c r="AN428" s="76"/>
      <c r="AO428" s="76"/>
      <c r="AP428" s="76"/>
    </row>
    <row r="429" spans="5:42" x14ac:dyDescent="0.2">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c r="AH429" s="76"/>
      <c r="AI429" s="76"/>
      <c r="AJ429" s="76"/>
      <c r="AK429" s="76"/>
      <c r="AL429" s="76"/>
      <c r="AM429" s="76"/>
      <c r="AN429" s="76"/>
      <c r="AO429" s="76"/>
      <c r="AP429" s="76"/>
    </row>
    <row r="430" spans="5:42" x14ac:dyDescent="0.2">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c r="AH430" s="76"/>
      <c r="AI430" s="76"/>
      <c r="AJ430" s="76"/>
      <c r="AK430" s="76"/>
      <c r="AL430" s="76"/>
      <c r="AM430" s="76"/>
      <c r="AN430" s="76"/>
      <c r="AO430" s="76"/>
      <c r="AP430" s="76"/>
    </row>
    <row r="431" spans="5:42" x14ac:dyDescent="0.2">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c r="AH431" s="76"/>
      <c r="AI431" s="76"/>
      <c r="AJ431" s="76"/>
      <c r="AK431" s="76"/>
      <c r="AL431" s="76"/>
      <c r="AM431" s="76"/>
      <c r="AN431" s="76"/>
      <c r="AO431" s="76"/>
      <c r="AP431" s="76"/>
    </row>
    <row r="432" spans="5:42" x14ac:dyDescent="0.2">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c r="AH432" s="76"/>
      <c r="AI432" s="76"/>
      <c r="AJ432" s="76"/>
      <c r="AK432" s="76"/>
      <c r="AL432" s="76"/>
      <c r="AM432" s="76"/>
      <c r="AN432" s="76"/>
      <c r="AO432" s="76"/>
      <c r="AP432" s="76"/>
    </row>
    <row r="433" spans="5:42" x14ac:dyDescent="0.2">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c r="AH433" s="76"/>
      <c r="AI433" s="76"/>
      <c r="AJ433" s="76"/>
      <c r="AK433" s="76"/>
      <c r="AL433" s="76"/>
      <c r="AM433" s="76"/>
      <c r="AN433" s="76"/>
      <c r="AO433" s="76"/>
      <c r="AP433" s="76"/>
    </row>
    <row r="434" spans="5:42" x14ac:dyDescent="0.2">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c r="AH434" s="76"/>
      <c r="AI434" s="76"/>
      <c r="AJ434" s="76"/>
      <c r="AK434" s="76"/>
      <c r="AL434" s="76"/>
      <c r="AM434" s="76"/>
      <c r="AN434" s="76"/>
      <c r="AO434" s="76"/>
      <c r="AP434" s="76"/>
    </row>
    <row r="435" spans="5:42" x14ac:dyDescent="0.2">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c r="AH435" s="76"/>
      <c r="AI435" s="76"/>
      <c r="AJ435" s="76"/>
      <c r="AK435" s="76"/>
      <c r="AL435" s="76"/>
      <c r="AM435" s="76"/>
      <c r="AN435" s="76"/>
      <c r="AO435" s="76"/>
      <c r="AP435" s="76"/>
    </row>
    <row r="436" spans="5:42" x14ac:dyDescent="0.2">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c r="AH436" s="76"/>
      <c r="AI436" s="76"/>
      <c r="AJ436" s="76"/>
      <c r="AK436" s="76"/>
      <c r="AL436" s="76"/>
      <c r="AM436" s="76"/>
      <c r="AN436" s="76"/>
      <c r="AO436" s="76"/>
      <c r="AP436" s="76"/>
    </row>
    <row r="437" spans="5:42" x14ac:dyDescent="0.2">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c r="AH437" s="76"/>
      <c r="AI437" s="76"/>
      <c r="AJ437" s="76"/>
      <c r="AK437" s="76"/>
      <c r="AL437" s="76"/>
      <c r="AM437" s="76"/>
      <c r="AN437" s="76"/>
      <c r="AO437" s="76"/>
      <c r="AP437" s="76"/>
    </row>
    <row r="438" spans="5:42" x14ac:dyDescent="0.2">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c r="AH438" s="76"/>
      <c r="AI438" s="76"/>
      <c r="AJ438" s="76"/>
      <c r="AK438" s="76"/>
      <c r="AL438" s="76"/>
      <c r="AM438" s="76"/>
      <c r="AN438" s="76"/>
      <c r="AO438" s="76"/>
      <c r="AP438" s="76"/>
    </row>
    <row r="439" spans="5:42" x14ac:dyDescent="0.2">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c r="AH439" s="76"/>
      <c r="AI439" s="76"/>
      <c r="AJ439" s="76"/>
      <c r="AK439" s="76"/>
      <c r="AL439" s="76"/>
      <c r="AM439" s="76"/>
      <c r="AN439" s="76"/>
      <c r="AO439" s="76"/>
      <c r="AP439" s="76"/>
    </row>
    <row r="440" spans="5:42" x14ac:dyDescent="0.2">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c r="AH440" s="76"/>
      <c r="AI440" s="76"/>
      <c r="AJ440" s="76"/>
      <c r="AK440" s="76"/>
      <c r="AL440" s="76"/>
      <c r="AM440" s="76"/>
      <c r="AN440" s="76"/>
      <c r="AO440" s="76"/>
      <c r="AP440" s="76"/>
    </row>
    <row r="441" spans="5:42" x14ac:dyDescent="0.2">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c r="AH441" s="76"/>
      <c r="AI441" s="76"/>
      <c r="AJ441" s="76"/>
      <c r="AK441" s="76"/>
      <c r="AL441" s="76"/>
      <c r="AM441" s="76"/>
      <c r="AN441" s="76"/>
      <c r="AO441" s="76"/>
      <c r="AP441" s="76"/>
    </row>
    <row r="442" spans="5:42" x14ac:dyDescent="0.2">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c r="AI442" s="76"/>
      <c r="AJ442" s="76"/>
      <c r="AK442" s="76"/>
      <c r="AL442" s="76"/>
      <c r="AM442" s="76"/>
      <c r="AN442" s="76"/>
      <c r="AO442" s="76"/>
      <c r="AP442" s="76"/>
    </row>
    <row r="443" spans="5:42" x14ac:dyDescent="0.2">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c r="AI443" s="76"/>
      <c r="AJ443" s="76"/>
      <c r="AK443" s="76"/>
      <c r="AL443" s="76"/>
      <c r="AM443" s="76"/>
      <c r="AN443" s="76"/>
      <c r="AO443" s="76"/>
      <c r="AP443" s="76"/>
    </row>
    <row r="444" spans="5:42" x14ac:dyDescent="0.2">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c r="AI444" s="76"/>
      <c r="AJ444" s="76"/>
      <c r="AK444" s="76"/>
      <c r="AL444" s="76"/>
      <c r="AM444" s="76"/>
      <c r="AN444" s="76"/>
      <c r="AO444" s="76"/>
      <c r="AP444" s="76"/>
    </row>
    <row r="445" spans="5:42" x14ac:dyDescent="0.2">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c r="AI445" s="76"/>
      <c r="AJ445" s="76"/>
      <c r="AK445" s="76"/>
      <c r="AL445" s="76"/>
      <c r="AM445" s="76"/>
      <c r="AN445" s="76"/>
      <c r="AO445" s="76"/>
      <c r="AP445" s="76"/>
    </row>
    <row r="446" spans="5:42" x14ac:dyDescent="0.2">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c r="AI446" s="76"/>
      <c r="AJ446" s="76"/>
      <c r="AK446" s="76"/>
      <c r="AL446" s="76"/>
      <c r="AM446" s="76"/>
      <c r="AN446" s="76"/>
      <c r="AO446" s="76"/>
      <c r="AP446" s="76"/>
    </row>
    <row r="447" spans="5:42" x14ac:dyDescent="0.2">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c r="AH447" s="76"/>
      <c r="AI447" s="76"/>
      <c r="AJ447" s="76"/>
      <c r="AK447" s="76"/>
      <c r="AL447" s="76"/>
      <c r="AM447" s="76"/>
      <c r="AN447" s="76"/>
      <c r="AO447" s="76"/>
      <c r="AP447" s="76"/>
    </row>
    <row r="448" spans="5:42" x14ac:dyDescent="0.2">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c r="AH448" s="76"/>
      <c r="AI448" s="76"/>
      <c r="AJ448" s="76"/>
      <c r="AK448" s="76"/>
      <c r="AL448" s="76"/>
      <c r="AM448" s="76"/>
      <c r="AN448" s="76"/>
      <c r="AO448" s="76"/>
      <c r="AP448" s="76"/>
    </row>
    <row r="449" spans="5:42" x14ac:dyDescent="0.2">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c r="AH449" s="76"/>
      <c r="AI449" s="76"/>
      <c r="AJ449" s="76"/>
      <c r="AK449" s="76"/>
      <c r="AL449" s="76"/>
      <c r="AM449" s="76"/>
      <c r="AN449" s="76"/>
      <c r="AO449" s="76"/>
      <c r="AP449" s="76"/>
    </row>
    <row r="450" spans="5:42" x14ac:dyDescent="0.2">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c r="AI450" s="76"/>
      <c r="AJ450" s="76"/>
      <c r="AK450" s="76"/>
      <c r="AL450" s="76"/>
      <c r="AM450" s="76"/>
      <c r="AN450" s="76"/>
      <c r="AO450" s="76"/>
      <c r="AP450" s="76"/>
    </row>
    <row r="451" spans="5:42" x14ac:dyDescent="0.2">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c r="AI451" s="76"/>
      <c r="AJ451" s="76"/>
      <c r="AK451" s="76"/>
      <c r="AL451" s="76"/>
      <c r="AM451" s="76"/>
      <c r="AN451" s="76"/>
      <c r="AO451" s="76"/>
      <c r="AP451" s="76"/>
    </row>
    <row r="452" spans="5:42" x14ac:dyDescent="0.2">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c r="AI452" s="76"/>
      <c r="AJ452" s="76"/>
      <c r="AK452" s="76"/>
      <c r="AL452" s="76"/>
      <c r="AM452" s="76"/>
      <c r="AN452" s="76"/>
      <c r="AO452" s="76"/>
      <c r="AP452" s="76"/>
    </row>
    <row r="453" spans="5:42" x14ac:dyDescent="0.2">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c r="AI453" s="76"/>
      <c r="AJ453" s="76"/>
      <c r="AK453" s="76"/>
      <c r="AL453" s="76"/>
      <c r="AM453" s="76"/>
      <c r="AN453" s="76"/>
      <c r="AO453" s="76"/>
      <c r="AP453" s="76"/>
    </row>
    <row r="454" spans="5:42" x14ac:dyDescent="0.2">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c r="AI454" s="76"/>
      <c r="AJ454" s="76"/>
      <c r="AK454" s="76"/>
      <c r="AL454" s="76"/>
      <c r="AM454" s="76"/>
      <c r="AN454" s="76"/>
      <c r="AO454" s="76"/>
      <c r="AP454" s="76"/>
    </row>
    <row r="455" spans="5:42" x14ac:dyDescent="0.2">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c r="AI455" s="76"/>
      <c r="AJ455" s="76"/>
      <c r="AK455" s="76"/>
      <c r="AL455" s="76"/>
      <c r="AM455" s="76"/>
      <c r="AN455" s="76"/>
      <c r="AO455" s="76"/>
      <c r="AP455" s="76"/>
    </row>
    <row r="456" spans="5:42" x14ac:dyDescent="0.2">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c r="AI456" s="76"/>
      <c r="AJ456" s="76"/>
      <c r="AK456" s="76"/>
      <c r="AL456" s="76"/>
      <c r="AM456" s="76"/>
      <c r="AN456" s="76"/>
      <c r="AO456" s="76"/>
      <c r="AP456" s="76"/>
    </row>
    <row r="457" spans="5:42" x14ac:dyDescent="0.2">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c r="AI457" s="76"/>
      <c r="AJ457" s="76"/>
      <c r="AK457" s="76"/>
      <c r="AL457" s="76"/>
      <c r="AM457" s="76"/>
      <c r="AN457" s="76"/>
      <c r="AO457" s="76"/>
      <c r="AP457" s="76"/>
    </row>
    <row r="458" spans="5:42" x14ac:dyDescent="0.2">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c r="AH458" s="76"/>
      <c r="AI458" s="76"/>
      <c r="AJ458" s="76"/>
      <c r="AK458" s="76"/>
      <c r="AL458" s="76"/>
      <c r="AM458" s="76"/>
      <c r="AN458" s="76"/>
      <c r="AO458" s="76"/>
      <c r="AP458" s="76"/>
    </row>
    <row r="459" spans="5:42" x14ac:dyDescent="0.2">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c r="AH459" s="76"/>
      <c r="AI459" s="76"/>
      <c r="AJ459" s="76"/>
      <c r="AK459" s="76"/>
      <c r="AL459" s="76"/>
      <c r="AM459" s="76"/>
      <c r="AN459" s="76"/>
      <c r="AO459" s="76"/>
      <c r="AP459" s="76"/>
    </row>
    <row r="460" spans="5:42" x14ac:dyDescent="0.2">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c r="AH460" s="76"/>
      <c r="AI460" s="76"/>
      <c r="AJ460" s="76"/>
      <c r="AK460" s="76"/>
      <c r="AL460" s="76"/>
      <c r="AM460" s="76"/>
      <c r="AN460" s="76"/>
      <c r="AO460" s="76"/>
      <c r="AP460" s="76"/>
    </row>
    <row r="461" spans="5:42" x14ac:dyDescent="0.2">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c r="AH461" s="76"/>
      <c r="AI461" s="76"/>
      <c r="AJ461" s="76"/>
      <c r="AK461" s="76"/>
      <c r="AL461" s="76"/>
      <c r="AM461" s="76"/>
      <c r="AN461" s="76"/>
      <c r="AO461" s="76"/>
      <c r="AP461" s="76"/>
    </row>
    <row r="462" spans="5:42" x14ac:dyDescent="0.2">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c r="AI462" s="76"/>
      <c r="AJ462" s="76"/>
      <c r="AK462" s="76"/>
      <c r="AL462" s="76"/>
      <c r="AM462" s="76"/>
      <c r="AN462" s="76"/>
      <c r="AO462" s="76"/>
      <c r="AP462" s="76"/>
    </row>
    <row r="463" spans="5:42" x14ac:dyDescent="0.2">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c r="AI463" s="76"/>
      <c r="AJ463" s="76"/>
      <c r="AK463" s="76"/>
      <c r="AL463" s="76"/>
      <c r="AM463" s="76"/>
      <c r="AN463" s="76"/>
      <c r="AO463" s="76"/>
      <c r="AP463" s="76"/>
    </row>
    <row r="464" spans="5:42" x14ac:dyDescent="0.2">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c r="AI464" s="76"/>
      <c r="AJ464" s="76"/>
      <c r="AK464" s="76"/>
      <c r="AL464" s="76"/>
      <c r="AM464" s="76"/>
      <c r="AN464" s="76"/>
      <c r="AO464" s="76"/>
      <c r="AP464" s="76"/>
    </row>
    <row r="465" spans="5:42" x14ac:dyDescent="0.2">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c r="AI465" s="76"/>
      <c r="AJ465" s="76"/>
      <c r="AK465" s="76"/>
      <c r="AL465" s="76"/>
      <c r="AM465" s="76"/>
      <c r="AN465" s="76"/>
      <c r="AO465" s="76"/>
      <c r="AP465" s="76"/>
    </row>
    <row r="466" spans="5:42" x14ac:dyDescent="0.2">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c r="AI466" s="76"/>
      <c r="AJ466" s="76"/>
      <c r="AK466" s="76"/>
      <c r="AL466" s="76"/>
      <c r="AM466" s="76"/>
      <c r="AN466" s="76"/>
      <c r="AO466" s="76"/>
      <c r="AP466" s="76"/>
    </row>
    <row r="467" spans="5:42" x14ac:dyDescent="0.2">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c r="AI467" s="76"/>
      <c r="AJ467" s="76"/>
      <c r="AK467" s="76"/>
      <c r="AL467" s="76"/>
      <c r="AM467" s="76"/>
      <c r="AN467" s="76"/>
      <c r="AO467" s="76"/>
      <c r="AP467" s="76"/>
    </row>
    <row r="468" spans="5:42" x14ac:dyDescent="0.2">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c r="AI468" s="76"/>
      <c r="AJ468" s="76"/>
      <c r="AK468" s="76"/>
      <c r="AL468" s="76"/>
      <c r="AM468" s="76"/>
      <c r="AN468" s="76"/>
      <c r="AO468" s="76"/>
      <c r="AP468" s="76"/>
    </row>
    <row r="469" spans="5:42" x14ac:dyDescent="0.2">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c r="AI469" s="76"/>
      <c r="AJ469" s="76"/>
      <c r="AK469" s="76"/>
      <c r="AL469" s="76"/>
      <c r="AM469" s="76"/>
      <c r="AN469" s="76"/>
      <c r="AO469" s="76"/>
      <c r="AP469" s="76"/>
    </row>
    <row r="470" spans="5:42" x14ac:dyDescent="0.2">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c r="AI470" s="76"/>
      <c r="AJ470" s="76"/>
      <c r="AK470" s="76"/>
      <c r="AL470" s="76"/>
      <c r="AM470" s="76"/>
      <c r="AN470" s="76"/>
      <c r="AO470" s="76"/>
      <c r="AP470" s="76"/>
    </row>
    <row r="471" spans="5:42" x14ac:dyDescent="0.2">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c r="AI471" s="76"/>
      <c r="AJ471" s="76"/>
      <c r="AK471" s="76"/>
      <c r="AL471" s="76"/>
      <c r="AM471" s="76"/>
      <c r="AN471" s="76"/>
      <c r="AO471" s="76"/>
      <c r="AP471" s="76"/>
    </row>
    <row r="472" spans="5:42" x14ac:dyDescent="0.2">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c r="AI472" s="76"/>
      <c r="AJ472" s="76"/>
      <c r="AK472" s="76"/>
      <c r="AL472" s="76"/>
      <c r="AM472" s="76"/>
      <c r="AN472" s="76"/>
      <c r="AO472" s="76"/>
      <c r="AP472" s="76"/>
    </row>
    <row r="473" spans="5:42" x14ac:dyDescent="0.2">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c r="AI473" s="76"/>
      <c r="AJ473" s="76"/>
      <c r="AK473" s="76"/>
      <c r="AL473" s="76"/>
      <c r="AM473" s="76"/>
      <c r="AN473" s="76"/>
      <c r="AO473" s="76"/>
      <c r="AP473" s="76"/>
    </row>
    <row r="474" spans="5:42" x14ac:dyDescent="0.2">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c r="AI474" s="76"/>
      <c r="AJ474" s="76"/>
      <c r="AK474" s="76"/>
      <c r="AL474" s="76"/>
      <c r="AM474" s="76"/>
      <c r="AN474" s="76"/>
      <c r="AO474" s="76"/>
      <c r="AP474" s="76"/>
    </row>
    <row r="475" spans="5:42" x14ac:dyDescent="0.2">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c r="AI475" s="76"/>
      <c r="AJ475" s="76"/>
      <c r="AK475" s="76"/>
      <c r="AL475" s="76"/>
      <c r="AM475" s="76"/>
      <c r="AN475" s="76"/>
      <c r="AO475" s="76"/>
      <c r="AP475" s="76"/>
    </row>
    <row r="476" spans="5:42" x14ac:dyDescent="0.2">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c r="AI476" s="76"/>
      <c r="AJ476" s="76"/>
      <c r="AK476" s="76"/>
      <c r="AL476" s="76"/>
      <c r="AM476" s="76"/>
      <c r="AN476" s="76"/>
      <c r="AO476" s="76"/>
      <c r="AP476" s="76"/>
    </row>
    <row r="477" spans="5:42" x14ac:dyDescent="0.2">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c r="AI477" s="76"/>
      <c r="AJ477" s="76"/>
      <c r="AK477" s="76"/>
      <c r="AL477" s="76"/>
      <c r="AM477" s="76"/>
      <c r="AN477" s="76"/>
      <c r="AO477" s="76"/>
      <c r="AP477" s="76"/>
    </row>
    <row r="478" spans="5:42" x14ac:dyDescent="0.2">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c r="AI478" s="76"/>
      <c r="AJ478" s="76"/>
      <c r="AK478" s="76"/>
      <c r="AL478" s="76"/>
      <c r="AM478" s="76"/>
      <c r="AN478" s="76"/>
      <c r="AO478" s="76"/>
      <c r="AP478" s="76"/>
    </row>
    <row r="479" spans="5:42" x14ac:dyDescent="0.2">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c r="AI479" s="76"/>
      <c r="AJ479" s="76"/>
      <c r="AK479" s="76"/>
      <c r="AL479" s="76"/>
      <c r="AM479" s="76"/>
      <c r="AN479" s="76"/>
      <c r="AO479" s="76"/>
      <c r="AP479" s="76"/>
    </row>
    <row r="480" spans="5:42" x14ac:dyDescent="0.2">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c r="AI480" s="76"/>
      <c r="AJ480" s="76"/>
      <c r="AK480" s="76"/>
      <c r="AL480" s="76"/>
      <c r="AM480" s="76"/>
      <c r="AN480" s="76"/>
      <c r="AO480" s="76"/>
      <c r="AP480" s="76"/>
    </row>
    <row r="481" spans="5:42" x14ac:dyDescent="0.2">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c r="AI481" s="76"/>
      <c r="AJ481" s="76"/>
      <c r="AK481" s="76"/>
      <c r="AL481" s="76"/>
      <c r="AM481" s="76"/>
      <c r="AN481" s="76"/>
      <c r="AO481" s="76"/>
      <c r="AP481" s="76"/>
    </row>
    <row r="482" spans="5:42" x14ac:dyDescent="0.2">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c r="AI482" s="76"/>
      <c r="AJ482" s="76"/>
      <c r="AK482" s="76"/>
      <c r="AL482" s="76"/>
      <c r="AM482" s="76"/>
      <c r="AN482" s="76"/>
      <c r="AO482" s="76"/>
      <c r="AP482" s="76"/>
    </row>
    <row r="483" spans="5:42" x14ac:dyDescent="0.2">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c r="AI483" s="76"/>
      <c r="AJ483" s="76"/>
      <c r="AK483" s="76"/>
      <c r="AL483" s="76"/>
      <c r="AM483" s="76"/>
      <c r="AN483" s="76"/>
      <c r="AO483" s="76"/>
      <c r="AP483" s="76"/>
    </row>
    <row r="484" spans="5:42" x14ac:dyDescent="0.2">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c r="AI484" s="76"/>
      <c r="AJ484" s="76"/>
      <c r="AK484" s="76"/>
      <c r="AL484" s="76"/>
      <c r="AM484" s="76"/>
      <c r="AN484" s="76"/>
      <c r="AO484" s="76"/>
      <c r="AP484" s="76"/>
    </row>
    <row r="485" spans="5:42" x14ac:dyDescent="0.2">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c r="AI485" s="76"/>
      <c r="AJ485" s="76"/>
      <c r="AK485" s="76"/>
      <c r="AL485" s="76"/>
      <c r="AM485" s="76"/>
      <c r="AN485" s="76"/>
      <c r="AO485" s="76"/>
      <c r="AP485" s="76"/>
    </row>
    <row r="486" spans="5:42" x14ac:dyDescent="0.2">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c r="AI486" s="76"/>
      <c r="AJ486" s="76"/>
      <c r="AK486" s="76"/>
      <c r="AL486" s="76"/>
      <c r="AM486" s="76"/>
      <c r="AN486" s="76"/>
      <c r="AO486" s="76"/>
      <c r="AP486" s="76"/>
    </row>
    <row r="487" spans="5:42" x14ac:dyDescent="0.2">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c r="AL487" s="76"/>
      <c r="AM487" s="76"/>
      <c r="AN487" s="76"/>
      <c r="AO487" s="76"/>
      <c r="AP487" s="76"/>
    </row>
    <row r="488" spans="5:42" x14ac:dyDescent="0.2">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c r="AI488" s="76"/>
      <c r="AJ488" s="76"/>
      <c r="AK488" s="76"/>
      <c r="AL488" s="76"/>
      <c r="AM488" s="76"/>
      <c r="AN488" s="76"/>
      <c r="AO488" s="76"/>
      <c r="AP488" s="76"/>
    </row>
    <row r="489" spans="5:42" x14ac:dyDescent="0.2">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c r="AI489" s="76"/>
      <c r="AJ489" s="76"/>
      <c r="AK489" s="76"/>
      <c r="AL489" s="76"/>
      <c r="AM489" s="76"/>
      <c r="AN489" s="76"/>
      <c r="AO489" s="76"/>
      <c r="AP489" s="76"/>
    </row>
    <row r="490" spans="5:42" x14ac:dyDescent="0.2">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c r="AI490" s="76"/>
      <c r="AJ490" s="76"/>
      <c r="AK490" s="76"/>
      <c r="AL490" s="76"/>
      <c r="AM490" s="76"/>
      <c r="AN490" s="76"/>
      <c r="AO490" s="76"/>
      <c r="AP490" s="76"/>
    </row>
    <row r="491" spans="5:42" x14ac:dyDescent="0.2">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c r="AI491" s="76"/>
      <c r="AJ491" s="76"/>
      <c r="AK491" s="76"/>
      <c r="AL491" s="76"/>
      <c r="AM491" s="76"/>
      <c r="AN491" s="76"/>
      <c r="AO491" s="76"/>
      <c r="AP491" s="76"/>
    </row>
    <row r="492" spans="5:42" x14ac:dyDescent="0.2">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c r="AI492" s="76"/>
      <c r="AJ492" s="76"/>
      <c r="AK492" s="76"/>
      <c r="AL492" s="76"/>
      <c r="AM492" s="76"/>
      <c r="AN492" s="76"/>
      <c r="AO492" s="76"/>
      <c r="AP492" s="76"/>
    </row>
    <row r="493" spans="5:42" x14ac:dyDescent="0.2">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c r="AI493" s="76"/>
      <c r="AJ493" s="76"/>
      <c r="AK493" s="76"/>
      <c r="AL493" s="76"/>
      <c r="AM493" s="76"/>
      <c r="AN493" s="76"/>
      <c r="AO493" s="76"/>
      <c r="AP493" s="76"/>
    </row>
    <row r="494" spans="5:42" x14ac:dyDescent="0.2">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c r="AI494" s="76"/>
      <c r="AJ494" s="76"/>
      <c r="AK494" s="76"/>
      <c r="AL494" s="76"/>
      <c r="AM494" s="76"/>
      <c r="AN494" s="76"/>
      <c r="AO494" s="76"/>
      <c r="AP494" s="76"/>
    </row>
    <row r="495" spans="5:42" x14ac:dyDescent="0.2">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c r="AI495" s="76"/>
      <c r="AJ495" s="76"/>
      <c r="AK495" s="76"/>
      <c r="AL495" s="76"/>
      <c r="AM495" s="76"/>
      <c r="AN495" s="76"/>
      <c r="AO495" s="76"/>
      <c r="AP495" s="76"/>
    </row>
    <row r="496" spans="5:42" x14ac:dyDescent="0.2">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c r="AI496" s="76"/>
      <c r="AJ496" s="76"/>
      <c r="AK496" s="76"/>
      <c r="AL496" s="76"/>
      <c r="AM496" s="76"/>
      <c r="AN496" s="76"/>
      <c r="AO496" s="76"/>
      <c r="AP496" s="76"/>
    </row>
    <row r="497" spans="5:42" x14ac:dyDescent="0.2">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c r="AI497" s="76"/>
      <c r="AJ497" s="76"/>
      <c r="AK497" s="76"/>
      <c r="AL497" s="76"/>
      <c r="AM497" s="76"/>
      <c r="AN497" s="76"/>
      <c r="AO497" s="76"/>
      <c r="AP497" s="76"/>
    </row>
    <row r="498" spans="5:42" x14ac:dyDescent="0.2">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c r="AH498" s="76"/>
      <c r="AI498" s="76"/>
      <c r="AJ498" s="76"/>
      <c r="AK498" s="76"/>
      <c r="AL498" s="76"/>
      <c r="AM498" s="76"/>
      <c r="AN498" s="76"/>
      <c r="AO498" s="76"/>
      <c r="AP498" s="76"/>
    </row>
    <row r="499" spans="5:42" x14ac:dyDescent="0.2">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c r="AI499" s="76"/>
      <c r="AJ499" s="76"/>
      <c r="AK499" s="76"/>
      <c r="AL499" s="76"/>
      <c r="AM499" s="76"/>
      <c r="AN499" s="76"/>
      <c r="AO499" s="76"/>
      <c r="AP499" s="76"/>
    </row>
    <row r="500" spans="5:42" x14ac:dyDescent="0.2">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c r="AI500" s="76"/>
      <c r="AJ500" s="76"/>
      <c r="AK500" s="76"/>
      <c r="AL500" s="76"/>
      <c r="AM500" s="76"/>
      <c r="AN500" s="76"/>
      <c r="AO500" s="76"/>
      <c r="AP500" s="76"/>
    </row>
    <row r="501" spans="5:42" x14ac:dyDescent="0.2">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c r="AH501" s="76"/>
      <c r="AI501" s="76"/>
      <c r="AJ501" s="76"/>
      <c r="AK501" s="76"/>
      <c r="AL501" s="76"/>
      <c r="AM501" s="76"/>
      <c r="AN501" s="76"/>
      <c r="AO501" s="76"/>
      <c r="AP501" s="76"/>
    </row>
    <row r="502" spans="5:42" x14ac:dyDescent="0.2">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c r="AH502" s="76"/>
      <c r="AI502" s="76"/>
      <c r="AJ502" s="76"/>
      <c r="AK502" s="76"/>
      <c r="AL502" s="76"/>
      <c r="AM502" s="76"/>
      <c r="AN502" s="76"/>
      <c r="AO502" s="76"/>
      <c r="AP502" s="76"/>
    </row>
    <row r="503" spans="5:42" x14ac:dyDescent="0.2">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c r="AI503" s="76"/>
      <c r="AJ503" s="76"/>
      <c r="AK503" s="76"/>
      <c r="AL503" s="76"/>
      <c r="AM503" s="76"/>
      <c r="AN503" s="76"/>
      <c r="AO503" s="76"/>
      <c r="AP503" s="76"/>
    </row>
    <row r="504" spans="5:42" x14ac:dyDescent="0.2">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c r="AH504" s="76"/>
      <c r="AI504" s="76"/>
      <c r="AJ504" s="76"/>
      <c r="AK504" s="76"/>
      <c r="AL504" s="76"/>
      <c r="AM504" s="76"/>
      <c r="AN504" s="76"/>
      <c r="AO504" s="76"/>
      <c r="AP504" s="76"/>
    </row>
    <row r="505" spans="5:42" x14ac:dyDescent="0.2">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c r="AH505" s="76"/>
      <c r="AI505" s="76"/>
      <c r="AJ505" s="76"/>
      <c r="AK505" s="76"/>
      <c r="AL505" s="76"/>
      <c r="AM505" s="76"/>
      <c r="AN505" s="76"/>
      <c r="AO505" s="76"/>
      <c r="AP505" s="76"/>
    </row>
    <row r="506" spans="5:42" x14ac:dyDescent="0.2">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c r="AH506" s="76"/>
      <c r="AI506" s="76"/>
      <c r="AJ506" s="76"/>
      <c r="AK506" s="76"/>
      <c r="AL506" s="76"/>
      <c r="AM506" s="76"/>
      <c r="AN506" s="76"/>
      <c r="AO506" s="76"/>
      <c r="AP506" s="76"/>
    </row>
    <row r="507" spans="5:42" x14ac:dyDescent="0.2">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c r="AI507" s="76"/>
      <c r="AJ507" s="76"/>
      <c r="AK507" s="76"/>
      <c r="AL507" s="76"/>
      <c r="AM507" s="76"/>
      <c r="AN507" s="76"/>
      <c r="AO507" s="76"/>
      <c r="AP507" s="76"/>
    </row>
    <row r="508" spans="5:42" x14ac:dyDescent="0.2">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c r="AI508" s="76"/>
      <c r="AJ508" s="76"/>
      <c r="AK508" s="76"/>
      <c r="AL508" s="76"/>
      <c r="AM508" s="76"/>
      <c r="AN508" s="76"/>
      <c r="AO508" s="76"/>
      <c r="AP508" s="76"/>
    </row>
  </sheetData>
  <printOptions horizontalCentered="1"/>
  <pageMargins left="0.25" right="0.25" top="0.49" bottom="0.5" header="0.5" footer="0.5"/>
  <pageSetup scale="75" orientation="landscape" verticalDpi="0" r:id="rId1"/>
  <headerFooter alignWithMargins="0">
    <oddFooter>&amp;L&amp;D&amp;T&amp;C&amp;P&amp;Ro:/Corpdev/North America/Raul/Ammonia/&amp;F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W68"/>
  <sheetViews>
    <sheetView showGridLines="0" view="pageBreakPreview" zoomScale="60" zoomScaleNormal="85" workbookViewId="0">
      <selection activeCell="B33" sqref="B33"/>
    </sheetView>
  </sheetViews>
  <sheetFormatPr defaultRowHeight="12.75" outlineLevelCol="1" x14ac:dyDescent="0.2"/>
  <cols>
    <col min="1" max="2" width="9.140625" style="1"/>
    <col min="3" max="3" width="11.140625" style="1" customWidth="1"/>
    <col min="4" max="4" width="9.140625" style="4"/>
    <col min="5" max="5" width="9.140625" style="1"/>
    <col min="6" max="6" width="9.85546875" style="1" customWidth="1"/>
    <col min="7" max="7" width="5.42578125" style="1" customWidth="1"/>
    <col min="8" max="8" width="9.28515625" style="1" bestFit="1" customWidth="1"/>
    <col min="9" max="9" width="26.85546875" style="1" customWidth="1"/>
    <col min="10" max="10" width="9.85546875" style="1" bestFit="1" customWidth="1"/>
    <col min="11" max="11" width="3" style="1" customWidth="1"/>
    <col min="12" max="12" width="9.140625" style="1"/>
    <col min="13" max="13" width="16.28515625" style="1" customWidth="1"/>
    <col min="14" max="14" width="12.140625" style="1" customWidth="1"/>
    <col min="15" max="15" width="11.5703125" style="1" customWidth="1"/>
    <col min="16" max="16" width="9.140625" style="1"/>
    <col min="17" max="22" width="0" style="1" hidden="1" customWidth="1" outlineLevel="1"/>
    <col min="23" max="23" width="9.140625" style="1" collapsed="1"/>
    <col min="24" max="16384" width="9.140625" style="1"/>
  </cols>
  <sheetData>
    <row r="2" spans="1:22" ht="21" thickBot="1" x14ac:dyDescent="0.35">
      <c r="A2" s="365" t="s">
        <v>518</v>
      </c>
      <c r="B2" s="366"/>
      <c r="C2" s="366"/>
      <c r="D2" s="367"/>
      <c r="E2" s="367"/>
      <c r="F2" s="367"/>
      <c r="G2" s="367"/>
      <c r="H2" s="360"/>
      <c r="I2" s="367"/>
      <c r="J2" s="360"/>
      <c r="K2" s="822" t="s">
        <v>888</v>
      </c>
      <c r="L2" s="822"/>
      <c r="M2" s="822"/>
    </row>
    <row r="3" spans="1:22" ht="18" x14ac:dyDescent="0.25">
      <c r="B3" s="309"/>
      <c r="D3" s="642"/>
    </row>
    <row r="4" spans="1:22" ht="20.25" x14ac:dyDescent="0.3">
      <c r="B4" s="294"/>
      <c r="C4" s="295"/>
      <c r="D4" s="296"/>
      <c r="E4" s="297"/>
      <c r="F4" s="297"/>
      <c r="G4" s="297"/>
      <c r="H4" s="298"/>
      <c r="M4" s="369" t="s">
        <v>901</v>
      </c>
      <c r="U4" s="27">
        <v>2001</v>
      </c>
      <c r="V4" s="28">
        <v>2002</v>
      </c>
    </row>
    <row r="5" spans="1:22" x14ac:dyDescent="0.2">
      <c r="B5" s="298"/>
      <c r="C5" s="298"/>
      <c r="D5" s="89"/>
      <c r="E5" s="298"/>
      <c r="F5" s="298"/>
      <c r="G5" s="298"/>
      <c r="H5" s="298"/>
    </row>
    <row r="6" spans="1:22" x14ac:dyDescent="0.2">
      <c r="I6" s="298"/>
      <c r="P6" s="298"/>
      <c r="Q6" s="298" t="s">
        <v>138</v>
      </c>
      <c r="R6" s="298"/>
      <c r="S6" s="298"/>
      <c r="T6" s="298"/>
      <c r="U6" s="89">
        <f>1.71*885</f>
        <v>1513.35</v>
      </c>
      <c r="V6" s="89">
        <f>2.05*900</f>
        <v>1844.9999999999998</v>
      </c>
    </row>
    <row r="7" spans="1:22" x14ac:dyDescent="0.2">
      <c r="I7" s="298"/>
      <c r="P7" s="298"/>
      <c r="Q7" s="298" t="s">
        <v>148</v>
      </c>
      <c r="R7" s="298"/>
      <c r="S7" s="298"/>
      <c r="T7" s="298"/>
      <c r="U7" s="312">
        <f ca="1">+'Income Statement'!H35/1000</f>
        <v>5.3003045705750642</v>
      </c>
      <c r="V7" s="312">
        <f ca="1">+'Income Statement'!J35/1000</f>
        <v>16.813821687816823</v>
      </c>
    </row>
    <row r="8" spans="1:22" x14ac:dyDescent="0.2">
      <c r="I8" s="298"/>
      <c r="P8" s="298"/>
      <c r="Q8" s="298"/>
      <c r="R8" s="298"/>
      <c r="S8" s="298"/>
      <c r="T8" s="298"/>
      <c r="U8" s="312"/>
      <c r="V8" s="312"/>
    </row>
    <row r="9" spans="1:22" x14ac:dyDescent="0.2">
      <c r="I9" s="298"/>
      <c r="P9" s="298"/>
      <c r="Q9" s="298" t="s">
        <v>144</v>
      </c>
      <c r="R9" s="298"/>
      <c r="S9" s="298"/>
      <c r="T9" s="298"/>
      <c r="U9" s="89">
        <f ca="1">SUM(U6:U7)</f>
        <v>1518.6503045705749</v>
      </c>
      <c r="V9" s="89">
        <f ca="1">SUM(V6:V7)</f>
        <v>1861.8138216878167</v>
      </c>
    </row>
    <row r="10" spans="1:22" x14ac:dyDescent="0.2">
      <c r="I10" s="298"/>
      <c r="P10" s="298"/>
      <c r="Q10" s="298"/>
      <c r="R10" s="298"/>
      <c r="S10" s="298"/>
      <c r="T10" s="298"/>
      <c r="U10" s="89"/>
      <c r="V10" s="89"/>
    </row>
    <row r="11" spans="1:22" ht="18" x14ac:dyDescent="0.25">
      <c r="D11" s="308" t="s">
        <v>139</v>
      </c>
      <c r="E11" s="309"/>
      <c r="F11" s="310"/>
      <c r="G11" s="309"/>
      <c r="H11" s="308" t="s">
        <v>140</v>
      </c>
      <c r="I11" s="309"/>
      <c r="J11" s="309"/>
      <c r="K11" s="298"/>
      <c r="P11" s="298"/>
      <c r="Q11" s="298" t="s">
        <v>145</v>
      </c>
      <c r="R11" s="298"/>
      <c r="S11" s="298"/>
      <c r="T11" s="298"/>
      <c r="U11" s="89">
        <f ca="1">-Dep!F68/1000</f>
        <v>-1.0242164302457755</v>
      </c>
      <c r="V11" s="89">
        <f ca="1">-Dep!G68/1000</f>
        <v>-1.0242164302457755</v>
      </c>
    </row>
    <row r="12" spans="1:22" x14ac:dyDescent="0.2">
      <c r="D12" s="298"/>
      <c r="E12" s="298"/>
      <c r="F12" s="89"/>
      <c r="G12" s="298"/>
      <c r="H12" s="298"/>
      <c r="I12" s="298"/>
      <c r="J12" s="298"/>
      <c r="K12" s="298"/>
      <c r="P12" s="298"/>
      <c r="Q12" s="298" t="s">
        <v>389</v>
      </c>
      <c r="R12" s="298"/>
      <c r="S12" s="298"/>
      <c r="T12" s="298"/>
      <c r="U12" s="89">
        <v>0</v>
      </c>
      <c r="V12" s="89">
        <f>+U12</f>
        <v>0</v>
      </c>
    </row>
    <row r="13" spans="1:22" ht="18" x14ac:dyDescent="0.25">
      <c r="D13" s="309" t="s">
        <v>902</v>
      </c>
      <c r="E13" s="309"/>
      <c r="F13" s="787">
        <f ca="1">F19-F14</f>
        <v>220.3802063860845</v>
      </c>
      <c r="G13" s="298"/>
      <c r="H13" s="309" t="s">
        <v>141</v>
      </c>
      <c r="I13" s="309"/>
      <c r="J13" s="787">
        <f>+Assumptions!B24</f>
        <v>200</v>
      </c>
      <c r="K13" s="298"/>
      <c r="P13" s="298"/>
      <c r="Q13" s="298"/>
      <c r="R13" s="298"/>
      <c r="S13" s="298"/>
      <c r="T13" s="298"/>
      <c r="U13" s="89"/>
      <c r="V13" s="89"/>
    </row>
    <row r="14" spans="1:22" ht="18" x14ac:dyDescent="0.25">
      <c r="D14" s="309" t="s">
        <v>115</v>
      </c>
      <c r="E14" s="309"/>
      <c r="F14" s="787">
        <f>+J14</f>
        <v>180.4</v>
      </c>
      <c r="G14" s="309"/>
      <c r="H14" s="309" t="s">
        <v>115</v>
      </c>
      <c r="I14" s="309"/>
      <c r="J14" s="787">
        <f>('Balance Sheet'!F27+'Balance Sheet'!F33)/1000</f>
        <v>180.4</v>
      </c>
      <c r="K14" s="298"/>
      <c r="P14" s="298"/>
      <c r="Q14" s="298" t="s">
        <v>146</v>
      </c>
      <c r="R14" s="298"/>
      <c r="S14" s="298"/>
      <c r="T14" s="298"/>
      <c r="U14" s="131">
        <f ca="1">SUM(U11:U12)</f>
        <v>-1.0242164302457755</v>
      </c>
      <c r="V14" s="131">
        <f ca="1">SUM(V11:V12)</f>
        <v>-1.0242164302457755</v>
      </c>
    </row>
    <row r="15" spans="1:22" ht="18" x14ac:dyDescent="0.25">
      <c r="D15" s="1"/>
      <c r="F15" s="787"/>
      <c r="G15" s="309"/>
      <c r="H15" s="309" t="s">
        <v>900</v>
      </c>
      <c r="I15" s="309"/>
      <c r="J15" s="787">
        <f ca="1">-'Balance Sheet'!G48/1000</f>
        <v>10.380206386084552</v>
      </c>
      <c r="K15" s="298"/>
      <c r="P15" s="298"/>
      <c r="Q15" s="298"/>
      <c r="R15" s="298"/>
      <c r="S15" s="298"/>
      <c r="T15" s="298"/>
      <c r="U15" s="298"/>
      <c r="V15" s="298"/>
    </row>
    <row r="16" spans="1:22" ht="18" x14ac:dyDescent="0.25">
      <c r="D16" s="1"/>
      <c r="F16" s="787"/>
      <c r="G16" s="309"/>
      <c r="H16" s="309" t="s">
        <v>952</v>
      </c>
      <c r="I16" s="309"/>
      <c r="J16" s="787">
        <f>Assumptions!B47</f>
        <v>10</v>
      </c>
      <c r="K16" s="298"/>
      <c r="P16" s="298"/>
      <c r="Q16" s="298" t="s">
        <v>147</v>
      </c>
      <c r="R16" s="298"/>
      <c r="S16" s="298"/>
      <c r="T16" s="298"/>
      <c r="U16" s="131">
        <f ca="1">+U9+U14</f>
        <v>1517.6260881403291</v>
      </c>
      <c r="V16" s="131">
        <f ca="1">+V9+V14</f>
        <v>1860.7896052575709</v>
      </c>
    </row>
    <row r="17" spans="2:22" ht="18" x14ac:dyDescent="0.25">
      <c r="D17" s="309"/>
      <c r="E17" s="309"/>
      <c r="F17" s="787"/>
      <c r="G17" s="309"/>
      <c r="J17" s="787"/>
      <c r="K17" s="298"/>
      <c r="P17" s="298"/>
      <c r="Q17" s="298"/>
      <c r="R17" s="298"/>
      <c r="S17" s="298"/>
      <c r="T17" s="298"/>
      <c r="U17" s="298"/>
      <c r="V17" s="298"/>
    </row>
    <row r="18" spans="2:22" ht="18" x14ac:dyDescent="0.25">
      <c r="D18" s="309"/>
      <c r="E18" s="309"/>
      <c r="F18" s="787"/>
      <c r="G18" s="309"/>
      <c r="H18" s="309"/>
      <c r="I18" s="309"/>
      <c r="J18" s="787"/>
      <c r="K18" s="298"/>
      <c r="P18" s="298"/>
      <c r="Q18" s="315"/>
      <c r="R18" s="315"/>
      <c r="S18" s="315"/>
      <c r="T18" s="315"/>
      <c r="U18" s="316"/>
      <c r="V18" s="316"/>
    </row>
    <row r="19" spans="2:22" ht="18" x14ac:dyDescent="0.25">
      <c r="D19" s="309" t="s">
        <v>142</v>
      </c>
      <c r="E19" s="309"/>
      <c r="F19" s="787">
        <f ca="1">J19</f>
        <v>400.7802063860845</v>
      </c>
      <c r="G19" s="309"/>
      <c r="H19" s="309" t="s">
        <v>143</v>
      </c>
      <c r="I19" s="309"/>
      <c r="J19" s="787">
        <f ca="1">SUM(J13:J16)</f>
        <v>400.7802063860845</v>
      </c>
      <c r="K19" s="298"/>
      <c r="P19" s="298"/>
      <c r="Q19" s="313"/>
      <c r="R19" s="298"/>
      <c r="S19" s="298"/>
      <c r="T19" s="298"/>
      <c r="U19" s="314"/>
      <c r="V19" s="314"/>
    </row>
    <row r="20" spans="2:22" ht="19.5" x14ac:dyDescent="0.35">
      <c r="D20" s="309"/>
      <c r="E20" s="309"/>
      <c r="F20" s="759"/>
      <c r="G20" s="309"/>
      <c r="H20" s="309"/>
      <c r="I20" s="309"/>
      <c r="J20" s="759"/>
      <c r="K20" s="298"/>
      <c r="P20" s="298"/>
      <c r="Q20" s="298"/>
      <c r="R20" s="298"/>
      <c r="S20" s="298"/>
      <c r="T20" s="298"/>
      <c r="U20" s="621"/>
      <c r="V20" s="621"/>
    </row>
    <row r="21" spans="2:22" ht="18" x14ac:dyDescent="0.25">
      <c r="B21" s="309"/>
      <c r="C21" s="309"/>
      <c r="D21" s="310"/>
      <c r="E21" s="309"/>
      <c r="F21" s="309"/>
      <c r="G21" s="309"/>
      <c r="H21" s="310"/>
      <c r="I21" s="298"/>
      <c r="P21" s="298"/>
      <c r="Q21" s="298"/>
      <c r="R21" s="298"/>
      <c r="S21" s="298"/>
      <c r="T21" s="298"/>
      <c r="U21" s="89"/>
      <c r="V21" s="89"/>
    </row>
    <row r="22" spans="2:22" ht="18" x14ac:dyDescent="0.25">
      <c r="D22" s="1"/>
      <c r="E22" s="309"/>
      <c r="F22" s="309"/>
      <c r="G22" s="309"/>
      <c r="H22" s="310"/>
      <c r="I22" s="298"/>
      <c r="P22" s="298"/>
      <c r="Q22" s="298"/>
      <c r="R22" s="298"/>
      <c r="S22" s="298"/>
      <c r="T22" s="298"/>
      <c r="U22" s="89"/>
      <c r="V22" s="89"/>
    </row>
    <row r="23" spans="2:22" ht="18" x14ac:dyDescent="0.25">
      <c r="B23" s="309"/>
      <c r="C23" s="309"/>
      <c r="D23" s="310"/>
      <c r="E23" s="309"/>
      <c r="F23" s="309"/>
      <c r="G23" s="309"/>
      <c r="H23" s="310"/>
      <c r="I23" s="298"/>
      <c r="P23" s="298"/>
      <c r="Q23" s="298"/>
      <c r="R23" s="298"/>
      <c r="S23" s="298"/>
      <c r="T23" s="298"/>
      <c r="U23" s="622"/>
      <c r="V23" s="622"/>
    </row>
    <row r="24" spans="2:22" ht="18" x14ac:dyDescent="0.25">
      <c r="B24" s="309"/>
      <c r="C24" s="309"/>
      <c r="D24" s="310"/>
      <c r="E24" s="309"/>
      <c r="F24" s="309"/>
      <c r="G24" s="309"/>
      <c r="H24" s="310"/>
      <c r="I24" s="298"/>
      <c r="P24" s="298"/>
      <c r="Q24" s="298"/>
      <c r="R24" s="298"/>
      <c r="S24" s="298"/>
      <c r="T24" s="298"/>
      <c r="U24" s="623"/>
      <c r="V24" s="623"/>
    </row>
    <row r="25" spans="2:22" ht="18" x14ac:dyDescent="0.25">
      <c r="B25" s="309"/>
      <c r="C25" s="309"/>
      <c r="D25" s="310"/>
      <c r="E25" s="309"/>
      <c r="F25" s="309"/>
      <c r="G25" s="309"/>
      <c r="H25" s="311"/>
      <c r="I25" s="298"/>
      <c r="P25" s="298"/>
      <c r="Q25" s="298"/>
      <c r="R25" s="298"/>
      <c r="S25" s="298"/>
      <c r="T25" s="298"/>
      <c r="U25" s="624"/>
      <c r="V25" s="624"/>
    </row>
    <row r="26" spans="2:22" ht="18" x14ac:dyDescent="0.25">
      <c r="B26" s="309"/>
      <c r="C26" s="310"/>
      <c r="D26" s="309"/>
      <c r="E26" s="309"/>
      <c r="F26" s="309"/>
      <c r="G26" s="309"/>
      <c r="H26" s="309"/>
      <c r="I26" s="298"/>
      <c r="P26" s="298"/>
      <c r="Q26" s="298" t="s">
        <v>300</v>
      </c>
      <c r="R26" s="298"/>
      <c r="S26" s="298"/>
      <c r="T26" s="298"/>
      <c r="U26" s="625">
        <f>U25*(U21)*U27</f>
        <v>0</v>
      </c>
      <c r="V26" s="625"/>
    </row>
    <row r="27" spans="2:22" ht="18" x14ac:dyDescent="0.25">
      <c r="B27" s="309"/>
      <c r="C27" s="310"/>
      <c r="D27" s="309"/>
      <c r="E27" s="309"/>
      <c r="F27" s="309"/>
      <c r="G27" s="309"/>
      <c r="H27" s="309"/>
      <c r="I27" s="298"/>
      <c r="P27" s="298"/>
      <c r="Q27" s="298"/>
      <c r="R27" s="298" t="s">
        <v>303</v>
      </c>
      <c r="S27" s="298"/>
      <c r="T27" s="298"/>
      <c r="U27" s="626">
        <v>45</v>
      </c>
      <c r="V27" s="89"/>
    </row>
    <row r="28" spans="2:22" ht="14.25" x14ac:dyDescent="0.2">
      <c r="C28" s="316"/>
      <c r="D28" s="315"/>
      <c r="E28" s="315"/>
      <c r="F28" s="315"/>
      <c r="G28" s="315"/>
      <c r="H28" s="315"/>
      <c r="I28" s="315"/>
      <c r="P28" s="315"/>
    </row>
    <row r="29" spans="2:22" x14ac:dyDescent="0.2">
      <c r="B29" s="298"/>
      <c r="C29" s="298"/>
      <c r="D29" s="89"/>
      <c r="E29" s="298"/>
      <c r="F29" s="298"/>
      <c r="G29" s="298"/>
      <c r="H29" s="298"/>
      <c r="I29" s="298"/>
      <c r="P29" s="298"/>
      <c r="R29" s="216">
        <v>1</v>
      </c>
    </row>
    <row r="31" spans="2:22" x14ac:dyDescent="0.2">
      <c r="R31" s="1" t="s">
        <v>393</v>
      </c>
      <c r="U31" s="216">
        <v>1</v>
      </c>
    </row>
    <row r="32" spans="2:22" x14ac:dyDescent="0.2">
      <c r="R32" s="1" t="s">
        <v>392</v>
      </c>
    </row>
    <row r="33" spans="2:21" x14ac:dyDescent="0.2">
      <c r="U33" s="1" t="s">
        <v>390</v>
      </c>
    </row>
    <row r="34" spans="2:21" x14ac:dyDescent="0.2">
      <c r="B34" s="298" t="s">
        <v>953</v>
      </c>
      <c r="U34" s="1" t="s">
        <v>391</v>
      </c>
    </row>
    <row r="36" spans="2:21" x14ac:dyDescent="0.2">
      <c r="D36" s="1"/>
    </row>
    <row r="37" spans="2:21" x14ac:dyDescent="0.2">
      <c r="D37" s="1"/>
    </row>
    <row r="38" spans="2:21" x14ac:dyDescent="0.2">
      <c r="N38" s="156"/>
      <c r="O38" s="156"/>
    </row>
    <row r="39" spans="2:21" x14ac:dyDescent="0.2">
      <c r="C39" s="4"/>
      <c r="O39" s="4"/>
    </row>
    <row r="40" spans="2:21" x14ac:dyDescent="0.2">
      <c r="C40" s="4"/>
      <c r="N40" s="156"/>
      <c r="O40" s="4"/>
    </row>
    <row r="41" spans="2:21" x14ac:dyDescent="0.2">
      <c r="C41" s="14"/>
      <c r="D41" s="14"/>
    </row>
    <row r="42" spans="2:21" x14ac:dyDescent="0.2">
      <c r="C42" s="4"/>
    </row>
    <row r="46" spans="2:21" x14ac:dyDescent="0.2">
      <c r="C46" s="18"/>
    </row>
    <row r="47" spans="2:21" x14ac:dyDescent="0.2">
      <c r="C47" s="18"/>
    </row>
    <row r="48" spans="2:21" x14ac:dyDescent="0.2">
      <c r="C48" s="18"/>
    </row>
    <row r="49" spans="3:15" x14ac:dyDescent="0.2">
      <c r="C49" s="18"/>
      <c r="N49" s="4"/>
      <c r="O49" s="4"/>
    </row>
    <row r="50" spans="3:15" x14ac:dyDescent="0.2">
      <c r="N50" s="4"/>
      <c r="O50" s="4"/>
    </row>
    <row r="51" spans="3:15" x14ac:dyDescent="0.2">
      <c r="N51" s="4"/>
      <c r="O51" s="4"/>
    </row>
    <row r="52" spans="3:15" x14ac:dyDescent="0.2">
      <c r="N52" s="4"/>
      <c r="O52" s="4"/>
    </row>
    <row r="53" spans="3:15" x14ac:dyDescent="0.2">
      <c r="N53" s="4"/>
      <c r="O53" s="4"/>
    </row>
    <row r="54" spans="3:15" x14ac:dyDescent="0.2">
      <c r="N54" s="4"/>
      <c r="O54" s="4"/>
    </row>
    <row r="55" spans="3:15" x14ac:dyDescent="0.2">
      <c r="N55" s="4"/>
      <c r="O55" s="4"/>
    </row>
    <row r="56" spans="3:15" x14ac:dyDescent="0.2">
      <c r="N56" s="4"/>
      <c r="O56" s="4"/>
    </row>
    <row r="57" spans="3:15" x14ac:dyDescent="0.2">
      <c r="N57" s="4"/>
      <c r="O57" s="4"/>
    </row>
    <row r="58" spans="3:15" x14ac:dyDescent="0.2">
      <c r="N58" s="4"/>
      <c r="O58" s="4"/>
    </row>
    <row r="59" spans="3:15" x14ac:dyDescent="0.2">
      <c r="N59" s="4"/>
      <c r="O59" s="4"/>
    </row>
    <row r="60" spans="3:15" x14ac:dyDescent="0.2">
      <c r="N60" s="4"/>
      <c r="O60" s="4"/>
    </row>
    <row r="61" spans="3:15" x14ac:dyDescent="0.2">
      <c r="N61" s="4"/>
      <c r="O61" s="4"/>
    </row>
    <row r="62" spans="3:15" x14ac:dyDescent="0.2">
      <c r="N62" s="4"/>
      <c r="O62" s="4"/>
    </row>
    <row r="63" spans="3:15" x14ac:dyDescent="0.2">
      <c r="N63" s="4"/>
      <c r="O63" s="4"/>
    </row>
    <row r="64" spans="3:15" x14ac:dyDescent="0.2">
      <c r="N64" s="4"/>
      <c r="O64" s="4"/>
    </row>
    <row r="65" spans="14:15" x14ac:dyDescent="0.2">
      <c r="N65" s="4"/>
      <c r="O65" s="4"/>
    </row>
    <row r="66" spans="14:15" x14ac:dyDescent="0.2">
      <c r="N66" s="4"/>
      <c r="O66" s="4"/>
    </row>
    <row r="67" spans="14:15" x14ac:dyDescent="0.2">
      <c r="N67" s="4"/>
      <c r="O67" s="4"/>
    </row>
    <row r="68" spans="14:15" x14ac:dyDescent="0.2">
      <c r="N68" s="4"/>
      <c r="O68" s="4"/>
    </row>
  </sheetData>
  <mergeCells count="1">
    <mergeCell ref="K2:M2"/>
  </mergeCells>
  <printOptions horizontalCentered="1"/>
  <pageMargins left="0.75" right="0.75" top="0.5" bottom="1" header="0.5" footer="0.5"/>
  <pageSetup scale="89" orientation="landscape" r:id="rId1"/>
  <headerFooter alignWithMargins="0">
    <oddFooter>&amp;L&amp;7&amp;D &amp;T&amp;C&amp;8&amp;P&amp;R&amp;7o:/Corpdev/North America/Raul/Ammonia/&amp;F</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6"/>
  <sheetViews>
    <sheetView topLeftCell="A2" zoomScaleNormal="100" workbookViewId="0">
      <selection activeCell="B12" sqref="B12"/>
    </sheetView>
  </sheetViews>
  <sheetFormatPr defaultRowHeight="12.75" x14ac:dyDescent="0.2"/>
  <cols>
    <col min="3" max="3" width="3.5703125" bestFit="1" customWidth="1"/>
    <col min="5" max="5" width="11" customWidth="1"/>
    <col min="6" max="10" width="10.28515625" bestFit="1" customWidth="1"/>
  </cols>
  <sheetData>
    <row r="1" spans="1:14" ht="27" thickBot="1" x14ac:dyDescent="0.45">
      <c r="A1" s="365" t="s">
        <v>518</v>
      </c>
      <c r="B1" s="339"/>
      <c r="C1" s="339"/>
      <c r="D1" s="340"/>
      <c r="E1" s="340"/>
      <c r="F1" s="340"/>
      <c r="G1" s="355"/>
      <c r="H1" s="360"/>
      <c r="I1" s="360"/>
      <c r="J1" s="360"/>
      <c r="K1" s="360"/>
      <c r="L1" s="360"/>
      <c r="M1" s="360"/>
      <c r="N1" s="774" t="s">
        <v>911</v>
      </c>
    </row>
    <row r="2" spans="1:14" ht="26.25" x14ac:dyDescent="0.4">
      <c r="A2" s="358"/>
      <c r="B2" s="388"/>
      <c r="C2" s="388"/>
      <c r="D2" s="389"/>
      <c r="E2" s="389"/>
      <c r="F2" s="389"/>
      <c r="G2" s="359"/>
    </row>
    <row r="3" spans="1:14" ht="26.25" x14ac:dyDescent="0.4">
      <c r="A3" s="358"/>
      <c r="B3" s="388"/>
      <c r="C3" s="388"/>
      <c r="D3" s="389"/>
      <c r="E3" s="389"/>
      <c r="F3" s="389"/>
      <c r="G3" s="359"/>
    </row>
    <row r="5" spans="1:14" x14ac:dyDescent="0.2">
      <c r="B5" s="80" t="s">
        <v>559</v>
      </c>
    </row>
    <row r="6" spans="1:14" x14ac:dyDescent="0.2">
      <c r="B6" s="428">
        <v>0.11</v>
      </c>
      <c r="C6" t="s">
        <v>751</v>
      </c>
      <c r="D6" t="s">
        <v>762</v>
      </c>
    </row>
    <row r="7" spans="1:14" x14ac:dyDescent="0.2">
      <c r="B7" s="631">
        <v>6</v>
      </c>
      <c r="C7" t="s">
        <v>338</v>
      </c>
      <c r="D7" t="s">
        <v>912</v>
      </c>
    </row>
    <row r="8" spans="1:14" x14ac:dyDescent="0.2">
      <c r="B8" s="428">
        <v>0.35</v>
      </c>
      <c r="C8" t="s">
        <v>749</v>
      </c>
      <c r="D8" t="s">
        <v>763</v>
      </c>
    </row>
    <row r="9" spans="1:14" x14ac:dyDescent="0.2">
      <c r="B9" s="80"/>
      <c r="C9" t="s">
        <v>752</v>
      </c>
      <c r="D9" t="s">
        <v>971</v>
      </c>
    </row>
    <row r="10" spans="1:14" x14ac:dyDescent="0.2">
      <c r="B10" s="657">
        <v>7.4999999999999997E-2</v>
      </c>
      <c r="C10" t="s">
        <v>924</v>
      </c>
      <c r="D10" t="s">
        <v>764</v>
      </c>
    </row>
    <row r="11" spans="1:14" x14ac:dyDescent="0.2">
      <c r="B11" s="428">
        <v>0.05</v>
      </c>
      <c r="C11" t="s">
        <v>753</v>
      </c>
      <c r="D11" t="s">
        <v>765</v>
      </c>
    </row>
    <row r="12" spans="1:14" x14ac:dyDescent="0.2">
      <c r="B12" s="445">
        <v>10</v>
      </c>
      <c r="C12" t="s">
        <v>925</v>
      </c>
      <c r="D12" t="s">
        <v>913</v>
      </c>
    </row>
    <row r="13" spans="1:14" x14ac:dyDescent="0.2">
      <c r="B13" s="446"/>
      <c r="C13" t="s">
        <v>926</v>
      </c>
      <c r="D13" t="s">
        <v>766</v>
      </c>
    </row>
    <row r="14" spans="1:14" x14ac:dyDescent="0.2">
      <c r="B14" s="446"/>
      <c r="D14" s="210">
        <v>2001</v>
      </c>
      <c r="E14" s="210">
        <v>2002</v>
      </c>
      <c r="F14" s="210">
        <v>2003</v>
      </c>
      <c r="G14" s="210">
        <v>2004</v>
      </c>
      <c r="H14" s="210">
        <v>2005</v>
      </c>
    </row>
    <row r="15" spans="1:14" x14ac:dyDescent="0.2">
      <c r="B15" s="446"/>
      <c r="D15" s="447">
        <v>0</v>
      </c>
      <c r="E15" s="447">
        <v>0.05</v>
      </c>
      <c r="F15" s="447">
        <v>0.1</v>
      </c>
      <c r="G15" s="447">
        <v>0.15</v>
      </c>
      <c r="H15" s="447">
        <v>0.2</v>
      </c>
    </row>
    <row r="16" spans="1:14" x14ac:dyDescent="0.2">
      <c r="B16" s="445">
        <v>9.9999999999999995E-7</v>
      </c>
      <c r="C16" t="s">
        <v>754</v>
      </c>
      <c r="D16" s="334" t="s">
        <v>914</v>
      </c>
      <c r="E16" s="447"/>
      <c r="F16" s="447"/>
      <c r="G16" s="447"/>
    </row>
    <row r="17" spans="2:11" x14ac:dyDescent="0.2">
      <c r="B17" s="132">
        <v>0.04</v>
      </c>
      <c r="C17" t="s">
        <v>750</v>
      </c>
      <c r="D17" t="s">
        <v>767</v>
      </c>
    </row>
    <row r="18" spans="2:11" x14ac:dyDescent="0.2">
      <c r="B18" s="132">
        <v>0.06</v>
      </c>
      <c r="C18" t="s">
        <v>755</v>
      </c>
      <c r="D18" t="s">
        <v>919</v>
      </c>
    </row>
    <row r="19" spans="2:11" x14ac:dyDescent="0.2">
      <c r="B19" s="505">
        <v>0.2</v>
      </c>
      <c r="C19" t="s">
        <v>756</v>
      </c>
      <c r="D19" t="s">
        <v>844</v>
      </c>
    </row>
    <row r="20" spans="2:11" x14ac:dyDescent="0.2">
      <c r="B20" s="223">
        <v>37072</v>
      </c>
      <c r="C20" t="s">
        <v>757</v>
      </c>
      <c r="D20" t="s">
        <v>768</v>
      </c>
      <c r="K20" s="153"/>
    </row>
    <row r="21" spans="2:11" x14ac:dyDescent="0.2">
      <c r="B21" s="445">
        <v>500</v>
      </c>
      <c r="C21" t="s">
        <v>758</v>
      </c>
      <c r="D21" t="s">
        <v>918</v>
      </c>
    </row>
    <row r="22" spans="2:11" x14ac:dyDescent="0.2">
      <c r="B22" s="445">
        <v>5</v>
      </c>
      <c r="C22" t="s">
        <v>759</v>
      </c>
      <c r="D22" t="s">
        <v>915</v>
      </c>
    </row>
    <row r="23" spans="2:11" x14ac:dyDescent="0.2">
      <c r="B23" s="630">
        <v>1</v>
      </c>
      <c r="C23" t="s">
        <v>760</v>
      </c>
      <c r="D23" t="s">
        <v>988</v>
      </c>
    </row>
    <row r="24" spans="2:11" x14ac:dyDescent="0.2">
      <c r="B24" s="445">
        <v>200</v>
      </c>
      <c r="C24" t="s">
        <v>761</v>
      </c>
      <c r="D24" t="s">
        <v>916</v>
      </c>
    </row>
    <row r="26" spans="2:11" x14ac:dyDescent="0.2">
      <c r="B26" s="80" t="s">
        <v>923</v>
      </c>
    </row>
    <row r="27" spans="2:11" x14ac:dyDescent="0.2">
      <c r="B27" s="80"/>
      <c r="C27" t="s">
        <v>751</v>
      </c>
      <c r="D27" t="s">
        <v>772</v>
      </c>
    </row>
    <row r="28" spans="2:11" x14ac:dyDescent="0.2">
      <c r="C28" t="s">
        <v>338</v>
      </c>
      <c r="D28" t="s">
        <v>773</v>
      </c>
    </row>
    <row r="29" spans="2:11" x14ac:dyDescent="0.2">
      <c r="C29" t="s">
        <v>749</v>
      </c>
      <c r="D29" t="s">
        <v>774</v>
      </c>
    </row>
    <row r="30" spans="2:11" x14ac:dyDescent="0.2">
      <c r="C30" t="s">
        <v>752</v>
      </c>
      <c r="D30" s="302" t="s">
        <v>775</v>
      </c>
    </row>
    <row r="41" spans="2:4" x14ac:dyDescent="0.2">
      <c r="B41" s="80"/>
    </row>
    <row r="46" spans="2:4" x14ac:dyDescent="0.2">
      <c r="B46" s="445">
        <f ca="1">('Balance Sheet'!G10)/1000</f>
        <v>37.95531955949226</v>
      </c>
      <c r="C46" t="s">
        <v>869</v>
      </c>
      <c r="D46" t="s">
        <v>920</v>
      </c>
    </row>
    <row r="47" spans="2:4" x14ac:dyDescent="0.2">
      <c r="B47" s="445">
        <v>10</v>
      </c>
      <c r="C47" t="s">
        <v>870</v>
      </c>
      <c r="D47" t="s">
        <v>917</v>
      </c>
    </row>
    <row r="48" spans="2:4" x14ac:dyDescent="0.2">
      <c r="B48" s="775">
        <v>40</v>
      </c>
      <c r="D48" t="s">
        <v>922</v>
      </c>
    </row>
    <row r="49" spans="2:4" x14ac:dyDescent="0.2">
      <c r="B49" s="775">
        <v>30</v>
      </c>
      <c r="D49" t="s">
        <v>921</v>
      </c>
    </row>
    <row r="52" spans="2:4" x14ac:dyDescent="0.2">
      <c r="B52" s="80" t="s">
        <v>560</v>
      </c>
    </row>
    <row r="53" spans="2:4" x14ac:dyDescent="0.2">
      <c r="C53" t="s">
        <v>751</v>
      </c>
      <c r="D53" t="s">
        <v>850</v>
      </c>
    </row>
    <row r="54" spans="2:4" x14ac:dyDescent="0.2">
      <c r="C54" t="s">
        <v>338</v>
      </c>
      <c r="D54" t="s">
        <v>769</v>
      </c>
    </row>
    <row r="55" spans="2:4" x14ac:dyDescent="0.2">
      <c r="C55" t="s">
        <v>749</v>
      </c>
      <c r="D55" t="s">
        <v>770</v>
      </c>
    </row>
    <row r="56" spans="2:4" x14ac:dyDescent="0.2">
      <c r="C56" t="s">
        <v>752</v>
      </c>
      <c r="D56" t="s">
        <v>771</v>
      </c>
    </row>
  </sheetData>
  <printOptions horizontalCentered="1"/>
  <pageMargins left="0.75" right="0.75" top="0.53" bottom="1" header="0.5" footer="0.5"/>
  <pageSetup scale="95" orientation="landscape" verticalDpi="200" r:id="rId1"/>
  <headerFooter alignWithMargins="0">
    <oddFooter>&amp;L&amp;7&amp;D &amp;T&amp;C&amp;8&amp;P&amp;R&amp;7o:/Corpdev/North America/Raul/Ammonia/&amp;F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C72"/>
  <sheetViews>
    <sheetView showGridLines="0" topLeftCell="A4" zoomScale="85" zoomScaleNormal="85" zoomScaleSheetLayoutView="75" workbookViewId="0">
      <selection activeCell="B33" sqref="B33"/>
    </sheetView>
  </sheetViews>
  <sheetFormatPr defaultRowHeight="12.75" outlineLevelCol="1" x14ac:dyDescent="0.2"/>
  <cols>
    <col min="1" max="1" width="1.85546875" customWidth="1"/>
    <col min="2" max="2" width="8.140625" customWidth="1"/>
    <col min="3" max="3" width="22" customWidth="1"/>
    <col min="4" max="4" width="24.28515625" customWidth="1"/>
    <col min="5" max="5" width="2.42578125" style="110" customWidth="1"/>
    <col min="6" max="6" width="11.7109375" style="110" customWidth="1"/>
    <col min="7" max="7" width="18.140625" style="110" customWidth="1"/>
    <col min="8" max="8" width="13.140625" style="110" customWidth="1"/>
    <col min="9" max="9" width="12.42578125" style="110" customWidth="1"/>
    <col min="10" max="10" width="10.5703125" style="110" customWidth="1"/>
    <col min="11" max="11" width="11.140625" style="110" customWidth="1"/>
    <col min="12" max="12" width="15.85546875" customWidth="1"/>
    <col min="14" max="15" width="9.140625" hidden="1" customWidth="1" outlineLevel="1"/>
    <col min="16" max="16" width="11.85546875" customWidth="1" collapsed="1"/>
    <col min="17" max="17" width="12.85546875" hidden="1" customWidth="1" outlineLevel="1"/>
    <col min="18" max="18" width="15.7109375" customWidth="1" collapsed="1"/>
    <col min="19" max="19" width="16.28515625" customWidth="1"/>
    <col min="20" max="20" width="16.28515625" hidden="1" customWidth="1"/>
    <col min="21" max="21" width="13.42578125" hidden="1" customWidth="1"/>
    <col min="22" max="22" width="10.28515625" customWidth="1"/>
    <col min="23" max="24" width="8.5703125" bestFit="1" customWidth="1"/>
    <col min="26" max="26" width="9.5703125" bestFit="1" customWidth="1"/>
    <col min="27" max="27" width="7.5703125" style="110" bestFit="1" customWidth="1"/>
    <col min="29" max="29" width="8.5703125" bestFit="1" customWidth="1"/>
  </cols>
  <sheetData>
    <row r="1" spans="1:29" ht="27" thickBot="1" x14ac:dyDescent="0.45">
      <c r="A1" s="418" t="s">
        <v>518</v>
      </c>
      <c r="B1" s="341"/>
      <c r="C1" s="341"/>
      <c r="D1" s="342"/>
      <c r="E1" s="342"/>
      <c r="F1" s="342"/>
      <c r="G1" s="356" t="s">
        <v>25</v>
      </c>
      <c r="H1" s="386"/>
      <c r="I1" s="386"/>
      <c r="J1" s="386"/>
      <c r="K1" s="386"/>
      <c r="L1" s="386"/>
      <c r="M1" s="386"/>
      <c r="N1" s="386"/>
      <c r="O1" s="387"/>
      <c r="P1" s="387"/>
      <c r="Q1" s="387"/>
      <c r="R1" s="419" t="s">
        <v>571</v>
      </c>
      <c r="S1" s="387"/>
      <c r="T1" s="387"/>
      <c r="U1" s="387"/>
      <c r="V1" s="387"/>
      <c r="AA1" s="263"/>
    </row>
    <row r="2" spans="1:29" ht="21.75" x14ac:dyDescent="0.3">
      <c r="A2" s="268"/>
      <c r="B2" s="269"/>
      <c r="C2" s="269"/>
      <c r="D2" s="269"/>
      <c r="E2" s="270"/>
      <c r="F2" s="270"/>
      <c r="G2" s="270"/>
      <c r="H2" s="270"/>
      <c r="I2" s="270"/>
      <c r="J2" s="270"/>
      <c r="K2" s="270"/>
      <c r="L2" s="270"/>
      <c r="M2" s="269"/>
      <c r="N2" s="269"/>
      <c r="O2" s="263"/>
      <c r="P2" s="263"/>
      <c r="Q2" s="263"/>
      <c r="R2" s="263"/>
      <c r="S2" s="263"/>
      <c r="T2" s="263"/>
      <c r="U2" s="211"/>
      <c r="V2" s="211"/>
      <c r="AA2" s="263"/>
    </row>
    <row r="3" spans="1:29" ht="21.75" x14ac:dyDescent="0.3">
      <c r="A3" s="268"/>
      <c r="B3" s="269"/>
      <c r="C3" s="269"/>
      <c r="D3" s="269"/>
      <c r="E3" s="270"/>
      <c r="F3" s="270"/>
      <c r="G3" s="270"/>
      <c r="H3" s="270"/>
      <c r="I3" s="270"/>
      <c r="J3" s="270"/>
      <c r="K3" s="270"/>
      <c r="L3" s="270"/>
      <c r="M3" s="269"/>
      <c r="N3" s="269"/>
      <c r="O3" s="263"/>
      <c r="P3" s="263"/>
      <c r="Q3" s="263"/>
      <c r="R3" s="263"/>
      <c r="S3" s="263"/>
      <c r="T3" s="263"/>
      <c r="U3" s="211"/>
      <c r="V3" s="211"/>
      <c r="AA3" s="263"/>
    </row>
    <row r="4" spans="1:29" ht="21.75" x14ac:dyDescent="0.3">
      <c r="A4" s="268"/>
      <c r="B4" s="269"/>
      <c r="C4" s="269"/>
      <c r="D4" s="269"/>
      <c r="E4" s="270"/>
      <c r="F4" s="270"/>
      <c r="G4" s="270"/>
      <c r="H4" s="270"/>
      <c r="I4" s="270"/>
      <c r="J4" s="270"/>
      <c r="K4" s="270"/>
      <c r="L4" s="270"/>
      <c r="M4" s="269"/>
      <c r="N4" s="269"/>
      <c r="O4" s="263"/>
      <c r="P4" s="263"/>
      <c r="Q4" s="263"/>
      <c r="R4" s="263"/>
      <c r="S4" s="263"/>
      <c r="T4" s="263"/>
      <c r="U4" s="211"/>
      <c r="V4" s="211"/>
      <c r="AA4" s="263"/>
    </row>
    <row r="5" spans="1:29" ht="21.75" x14ac:dyDescent="0.3">
      <c r="A5" s="268"/>
      <c r="B5" s="271" t="s">
        <v>972</v>
      </c>
      <c r="C5" s="211"/>
      <c r="D5" s="211"/>
      <c r="E5" s="263"/>
      <c r="F5" s="263"/>
      <c r="G5" s="263"/>
      <c r="H5" s="263"/>
      <c r="I5" s="263"/>
      <c r="J5" s="263"/>
      <c r="K5" s="263"/>
      <c r="L5" s="263"/>
      <c r="M5" s="211"/>
      <c r="N5" s="211"/>
      <c r="O5" s="211"/>
      <c r="P5" s="211"/>
      <c r="Q5" s="211"/>
      <c r="R5" s="211"/>
      <c r="S5" s="211"/>
      <c r="T5" s="211"/>
      <c r="U5" s="211"/>
      <c r="V5" s="211"/>
      <c r="W5" s="272" t="s">
        <v>470</v>
      </c>
      <c r="X5" s="272" t="s">
        <v>471</v>
      </c>
      <c r="Y5" t="s">
        <v>402</v>
      </c>
      <c r="Z5" s="272" t="s">
        <v>472</v>
      </c>
      <c r="AA5" s="273"/>
      <c r="AB5" t="s">
        <v>95</v>
      </c>
      <c r="AC5" s="272" t="s">
        <v>115</v>
      </c>
    </row>
    <row r="6" spans="1:29" ht="15" customHeight="1" thickBot="1" x14ac:dyDescent="0.35">
      <c r="A6" s="268"/>
      <c r="B6" s="211"/>
      <c r="C6" s="211"/>
      <c r="D6" s="277" t="s">
        <v>387</v>
      </c>
      <c r="E6" s="277"/>
      <c r="F6" s="278" t="s">
        <v>570</v>
      </c>
      <c r="G6" s="279" t="s">
        <v>473</v>
      </c>
      <c r="H6" s="277" t="s">
        <v>474</v>
      </c>
      <c r="I6" s="277" t="s">
        <v>475</v>
      </c>
      <c r="J6" s="277" t="s">
        <v>476</v>
      </c>
      <c r="K6" s="277" t="s">
        <v>106</v>
      </c>
      <c r="L6" s="277" t="s">
        <v>477</v>
      </c>
      <c r="M6" s="277" t="s">
        <v>478</v>
      </c>
      <c r="N6" s="277" t="s">
        <v>479</v>
      </c>
      <c r="O6" s="211"/>
      <c r="P6" s="277" t="s">
        <v>480</v>
      </c>
      <c r="Q6" s="277" t="s">
        <v>481</v>
      </c>
      <c r="R6" s="277" t="s">
        <v>482</v>
      </c>
      <c r="T6" s="277" t="s">
        <v>483</v>
      </c>
      <c r="U6" s="277" t="s">
        <v>484</v>
      </c>
      <c r="V6" s="211"/>
      <c r="W6" s="272"/>
      <c r="X6" s="272"/>
      <c r="Z6" s="272"/>
      <c r="AA6" s="802" t="s">
        <v>107</v>
      </c>
      <c r="AC6" s="272"/>
    </row>
    <row r="7" spans="1:29" ht="15" customHeight="1" thickTop="1" x14ac:dyDescent="0.3">
      <c r="A7" s="268"/>
      <c r="B7" s="211" t="s">
        <v>973</v>
      </c>
      <c r="C7" s="211" t="s">
        <v>974</v>
      </c>
      <c r="D7" s="815">
        <v>87.3</v>
      </c>
      <c r="F7" s="795">
        <f>D7*Z7</f>
        <v>39651.659999999996</v>
      </c>
      <c r="G7" s="795">
        <f>F7+AC7</f>
        <v>110617.66</v>
      </c>
      <c r="H7" s="796">
        <f>F7/G7</f>
        <v>0.35845686846024399</v>
      </c>
      <c r="I7" s="803">
        <v>27.94</v>
      </c>
      <c r="J7" s="803">
        <v>6</v>
      </c>
      <c r="K7" s="797">
        <f>D7/J7</f>
        <v>14.549999999999999</v>
      </c>
      <c r="L7" s="797">
        <f>D7/I7</f>
        <v>3.124552612741589</v>
      </c>
      <c r="M7" s="797">
        <f>D7/X7</f>
        <v>2.6454545454545455</v>
      </c>
      <c r="N7" s="281"/>
      <c r="O7" s="211"/>
      <c r="P7" s="281">
        <f>(G7)/(X7*Z7)</f>
        <v>7.3801195575303895</v>
      </c>
      <c r="Q7" s="281" t="str">
        <f>IF(ISERROR(G7/AA7),"N/A",(G7/AA7))</f>
        <v>N/A</v>
      </c>
      <c r="R7" s="281">
        <f>G7/F7</f>
        <v>2.7897359152176735</v>
      </c>
      <c r="T7" s="281" t="e">
        <f>F7/(Z7*AB7)</f>
        <v>#DIV/0!</v>
      </c>
      <c r="U7" s="281" t="e">
        <f>F7/(Y7*Z7)</f>
        <v>#DIV/0!</v>
      </c>
      <c r="V7" s="211"/>
      <c r="W7" s="272">
        <v>1000</v>
      </c>
      <c r="X7" s="272">
        <v>33</v>
      </c>
      <c r="Z7" s="804">
        <v>454.2</v>
      </c>
      <c r="AA7" s="272">
        <v>0</v>
      </c>
      <c r="AC7" s="272">
        <f>33049+37917</f>
        <v>70966</v>
      </c>
    </row>
    <row r="8" spans="1:29" ht="15" customHeight="1" x14ac:dyDescent="0.3">
      <c r="A8" s="268"/>
      <c r="B8" s="211" t="s">
        <v>975</v>
      </c>
      <c r="C8" s="211" t="s">
        <v>976</v>
      </c>
      <c r="D8" s="816">
        <v>58.67</v>
      </c>
      <c r="F8" s="285">
        <f>D8*Z8</f>
        <v>65769.070000000007</v>
      </c>
      <c r="G8" s="806">
        <f>F8+AC8</f>
        <v>131385.07</v>
      </c>
      <c r="H8" s="796">
        <f>F8/G8</f>
        <v>0.50058252433096095</v>
      </c>
      <c r="I8" s="805">
        <v>16.16</v>
      </c>
      <c r="J8" s="805">
        <v>5.1100000000000003</v>
      </c>
      <c r="K8" s="797">
        <f>D8/J8</f>
        <v>11.481409001956946</v>
      </c>
      <c r="L8" s="797">
        <f>D8/I8</f>
        <v>3.6305693069306932</v>
      </c>
      <c r="M8" s="797">
        <f>D8/X8</f>
        <v>1.4029172644667622</v>
      </c>
      <c r="N8" s="281"/>
      <c r="O8" s="211"/>
      <c r="P8" s="281">
        <f>(G8)/(X8*Z8)</f>
        <v>2.802569399205038</v>
      </c>
      <c r="Q8" s="281" t="str">
        <f>IF(ISERROR(G8/AA8),"N/A",(G8/AA8))</f>
        <v>N/A</v>
      </c>
      <c r="R8" s="281">
        <f>G8/F8</f>
        <v>1.9976726141938754</v>
      </c>
      <c r="T8" s="281" t="e">
        <f>F8/(Z8*AB8)</f>
        <v>#DIV/0!</v>
      </c>
      <c r="U8" s="281" t="e">
        <f>F8/(Y8*Z8)</f>
        <v>#DIV/0!</v>
      </c>
      <c r="V8" s="211"/>
      <c r="W8" s="272">
        <v>1000</v>
      </c>
      <c r="X8" s="272">
        <v>41.82</v>
      </c>
      <c r="Z8" s="804">
        <v>1121</v>
      </c>
      <c r="AA8" s="272">
        <v>0</v>
      </c>
      <c r="AC8" s="272">
        <f>42833+22783</f>
        <v>65616</v>
      </c>
    </row>
    <row r="9" spans="1:29" ht="15" customHeight="1" x14ac:dyDescent="0.3">
      <c r="A9" s="268"/>
      <c r="B9" s="211" t="s">
        <v>977</v>
      </c>
      <c r="C9" s="211" t="s">
        <v>978</v>
      </c>
      <c r="D9" s="816">
        <v>77.7</v>
      </c>
      <c r="F9" s="285">
        <f>D9*Z9</f>
        <v>179953.2</v>
      </c>
      <c r="G9" s="806">
        <f>F9+AC9</f>
        <v>217864.2</v>
      </c>
      <c r="H9" s="796">
        <f>F9/G9</f>
        <v>0.82598793193190989</v>
      </c>
      <c r="I9" s="805">
        <v>15.79</v>
      </c>
      <c r="J9" s="805">
        <v>2.33</v>
      </c>
      <c r="K9" s="797">
        <f>D9/J9</f>
        <v>33.347639484978544</v>
      </c>
      <c r="L9" s="797">
        <f>D9/I9</f>
        <v>4.9208359721342623</v>
      </c>
      <c r="M9" s="797">
        <f>D9/X9</f>
        <v>1.9067484662576688</v>
      </c>
      <c r="N9" s="281"/>
      <c r="O9" s="211"/>
      <c r="P9" s="281">
        <f>(G9)/(X9*Z9)</f>
        <v>2.3084459137289808</v>
      </c>
      <c r="Q9" s="281" t="str">
        <f>IF(ISERROR(G9/AA9),"N/A",(G9/AA9))</f>
        <v>N/A</v>
      </c>
      <c r="R9" s="281">
        <f>G9/F9</f>
        <v>1.2106714412413895</v>
      </c>
      <c r="T9" s="281" t="e">
        <f>F9/(Z9*AB9)</f>
        <v>#DIV/0!</v>
      </c>
      <c r="U9" s="281" t="e">
        <f>F9/(Y9*Z9)</f>
        <v>#DIV/0!</v>
      </c>
      <c r="V9" s="211"/>
      <c r="W9" s="272">
        <v>1000</v>
      </c>
      <c r="X9" s="272">
        <v>40.75</v>
      </c>
      <c r="Z9" s="804">
        <v>2316</v>
      </c>
      <c r="AA9" s="272">
        <v>0</v>
      </c>
      <c r="AC9" s="272">
        <f>31913+5998</f>
        <v>37911</v>
      </c>
    </row>
    <row r="10" spans="1:29" ht="15" customHeight="1" x14ac:dyDescent="0.3">
      <c r="A10" s="268"/>
      <c r="B10" s="211" t="s">
        <v>979</v>
      </c>
      <c r="C10" s="211" t="s">
        <v>980</v>
      </c>
      <c r="D10" s="816">
        <v>63.96</v>
      </c>
      <c r="F10" s="285">
        <f>D10*Z10</f>
        <v>15254.460000000001</v>
      </c>
      <c r="G10" s="806">
        <f>F10+AC10</f>
        <v>56328.46</v>
      </c>
      <c r="H10" s="796">
        <f>F10/G10</f>
        <v>0.27081265846785091</v>
      </c>
      <c r="I10" s="805">
        <v>28.05</v>
      </c>
      <c r="J10" s="805">
        <v>6.38</v>
      </c>
      <c r="K10" s="797">
        <f>D10/J10</f>
        <v>10.025078369905957</v>
      </c>
      <c r="L10" s="797">
        <f>D10/I10</f>
        <v>2.2802139037433156</v>
      </c>
      <c r="M10" s="797">
        <f>D10/X10</f>
        <v>8.2989490073958745</v>
      </c>
      <c r="N10" s="281"/>
      <c r="O10" s="211"/>
      <c r="P10" s="281">
        <f>(G10)/(X10*Z10)</f>
        <v>30.644612605437242</v>
      </c>
      <c r="Q10" s="281" t="str">
        <f>IF(ISERROR(G10/AA10),"N/A",(G10/AA10))</f>
        <v>N/A</v>
      </c>
      <c r="R10" s="281">
        <f>G10/F10</f>
        <v>3.6925895770810633</v>
      </c>
      <c r="T10" s="281" t="e">
        <f>F10/(Z10*AB10)</f>
        <v>#DIV/0!</v>
      </c>
      <c r="U10" s="281" t="e">
        <f>F10/(Y10*Z10)</f>
        <v>#DIV/0!</v>
      </c>
      <c r="V10" s="211"/>
      <c r="W10" s="272">
        <v>1000</v>
      </c>
      <c r="X10" s="272">
        <v>7.7069999999999999</v>
      </c>
      <c r="Z10" s="804">
        <v>238.5</v>
      </c>
      <c r="AA10" s="272">
        <v>0</v>
      </c>
      <c r="AC10" s="272">
        <f>35407+5667</f>
        <v>41074</v>
      </c>
    </row>
    <row r="11" spans="1:29" ht="15" customHeight="1" x14ac:dyDescent="0.3">
      <c r="A11" s="268"/>
      <c r="B11" s="211" t="s">
        <v>981</v>
      </c>
      <c r="C11" s="211" t="s">
        <v>982</v>
      </c>
      <c r="D11" s="817">
        <v>48.02</v>
      </c>
      <c r="E11" s="807"/>
      <c r="F11" s="808">
        <f>D11*Z11</f>
        <v>5123.7340000000004</v>
      </c>
      <c r="G11" s="808">
        <f>F11+AC11</f>
        <v>42685.733999999997</v>
      </c>
      <c r="H11" s="592">
        <f>F11/G11</f>
        <v>0.12003387361220029</v>
      </c>
      <c r="I11" s="807">
        <v>38.53</v>
      </c>
      <c r="J11" s="807">
        <v>5.36</v>
      </c>
      <c r="K11" s="809">
        <f>D11/J11</f>
        <v>8.9589552238805972</v>
      </c>
      <c r="L11" s="809">
        <f>D11/I11</f>
        <v>1.2463015831819362</v>
      </c>
      <c r="M11" s="809">
        <f>D11/X11</f>
        <v>4.6712062256809341</v>
      </c>
      <c r="N11" s="281"/>
      <c r="O11" s="211"/>
      <c r="P11" s="281">
        <f>(G11)/(X11*Z11)</f>
        <v>38.915733410157571</v>
      </c>
      <c r="Q11" s="281" t="str">
        <f>IF(ISERROR(G11/AA11),"N/A",(G11/AA11))</f>
        <v>N/A</v>
      </c>
      <c r="R11" s="281">
        <f>G11/F11</f>
        <v>8.330981662982504</v>
      </c>
      <c r="T11" s="281" t="e">
        <f>F11/(Z11*AB11)</f>
        <v>#DIV/0!</v>
      </c>
      <c r="U11" s="281" t="e">
        <f>F11/(Y11*Z11)</f>
        <v>#DIV/0!</v>
      </c>
      <c r="V11" s="211"/>
      <c r="W11" s="272">
        <v>1000</v>
      </c>
      <c r="X11" s="272">
        <v>10.28</v>
      </c>
      <c r="Z11" s="804">
        <v>106.7</v>
      </c>
      <c r="AA11" s="272">
        <v>0</v>
      </c>
      <c r="AC11" s="272">
        <f>19356+18206</f>
        <v>37562</v>
      </c>
    </row>
    <row r="12" spans="1:29" ht="15" customHeight="1" x14ac:dyDescent="0.3">
      <c r="A12" s="268"/>
      <c r="B12" s="211"/>
      <c r="C12" s="810" t="s">
        <v>983</v>
      </c>
      <c r="D12" s="811"/>
      <c r="F12" s="812"/>
      <c r="G12" s="287"/>
      <c r="H12" s="797">
        <f>AVERAGE(H7:H11)</f>
        <v>0.41517477136063324</v>
      </c>
      <c r="I12" s="811"/>
      <c r="J12" s="811"/>
      <c r="K12" s="797">
        <f>AVERAGE(K7:K11)</f>
        <v>15.672616416144407</v>
      </c>
      <c r="L12" s="797">
        <f>AVERAGE(L7:L11)</f>
        <v>3.0404946757463591</v>
      </c>
      <c r="M12" s="797">
        <f>AVERAGE(M7:M11)</f>
        <v>3.7850551018511576</v>
      </c>
      <c r="N12" s="813"/>
      <c r="O12" s="211"/>
      <c r="P12" s="813">
        <f>AVERAGE(P7:P11)</f>
        <v>16.410296177211844</v>
      </c>
      <c r="Q12" s="813" t="str">
        <f>IF(ISERROR(AVERAGE(Q7:Q11)),"N/A",(Q7:Q11))</f>
        <v>N/A</v>
      </c>
      <c r="R12" s="813">
        <f>AVERAGE(R7:R11)</f>
        <v>3.604330242143301</v>
      </c>
      <c r="T12" s="813" t="e">
        <f>AVERAGE(T8:T11)</f>
        <v>#DIV/0!</v>
      </c>
      <c r="U12" s="813" t="e">
        <f>AVERAGE(U8:U11)</f>
        <v>#DIV/0!</v>
      </c>
      <c r="V12" s="211"/>
      <c r="W12" s="272">
        <v>1000</v>
      </c>
      <c r="X12" s="272"/>
      <c r="Z12" s="804"/>
      <c r="AA12" s="272"/>
      <c r="AC12" s="272"/>
    </row>
    <row r="13" spans="1:29" ht="15" customHeight="1" x14ac:dyDescent="0.3">
      <c r="A13" s="268"/>
      <c r="B13" s="211"/>
      <c r="C13" s="810" t="s">
        <v>495</v>
      </c>
      <c r="D13" s="811"/>
      <c r="F13" s="814"/>
      <c r="G13" s="287"/>
      <c r="H13" s="797">
        <f>MEDIAN(H7:H11)</f>
        <v>0.35845686846024399</v>
      </c>
      <c r="I13" s="811"/>
      <c r="J13" s="811"/>
      <c r="K13" s="797">
        <f>MEDIAN(K7:K11)</f>
        <v>11.481409001956946</v>
      </c>
      <c r="L13" s="797">
        <f>MEDIAN(L7:L11)</f>
        <v>3.124552612741589</v>
      </c>
      <c r="M13" s="797">
        <f>MEDIAN(M7:M11)</f>
        <v>2.6454545454545455</v>
      </c>
      <c r="N13" s="289"/>
      <c r="O13" s="211"/>
      <c r="P13" s="289">
        <f>MEDIAN(P7:P11)</f>
        <v>7.3801195575303895</v>
      </c>
      <c r="Q13" s="289" t="str">
        <f>IF(ISERROR(MEDIAN(Q7:Q11)),"N/A",(MEDIAN(Q7:Q11)))</f>
        <v>N/A</v>
      </c>
      <c r="R13" s="289">
        <f>MEDIAN(R7:R11)</f>
        <v>2.7897359152176735</v>
      </c>
      <c r="T13" s="289" t="e">
        <f>MEDIAN(T7:T11)</f>
        <v>#DIV/0!</v>
      </c>
      <c r="U13" s="289" t="e">
        <f>MEDIAN(U7:U11)</f>
        <v>#DIV/0!</v>
      </c>
      <c r="V13" s="211"/>
      <c r="W13" s="272"/>
      <c r="X13" s="272"/>
      <c r="Z13" s="804"/>
      <c r="AA13" s="272"/>
      <c r="AC13" s="272"/>
    </row>
    <row r="14" spans="1:29" ht="15" customHeight="1" x14ac:dyDescent="0.3">
      <c r="A14" s="268"/>
      <c r="B14" s="269"/>
      <c r="C14" s="269"/>
      <c r="D14" s="269"/>
      <c r="E14" s="270"/>
      <c r="F14" s="270"/>
      <c r="G14" s="270"/>
      <c r="H14" s="270"/>
      <c r="I14" s="270"/>
      <c r="J14" s="270"/>
      <c r="K14" s="270"/>
      <c r="L14" s="270"/>
      <c r="M14" s="269"/>
      <c r="N14" s="269"/>
      <c r="O14" s="263"/>
      <c r="P14" s="263"/>
      <c r="Q14" s="263"/>
      <c r="R14" s="263"/>
      <c r="S14" s="263"/>
      <c r="T14" s="263"/>
      <c r="U14" s="211"/>
      <c r="V14" s="211"/>
      <c r="AA14" s="263"/>
    </row>
    <row r="15" spans="1:29" ht="15" customHeight="1" x14ac:dyDescent="0.2">
      <c r="A15" s="211"/>
      <c r="C15" s="211"/>
      <c r="D15" s="211"/>
      <c r="E15" s="263"/>
      <c r="F15" s="263"/>
      <c r="G15" s="263"/>
      <c r="H15" s="263"/>
      <c r="I15" s="263"/>
      <c r="J15" s="263"/>
      <c r="K15" s="263"/>
      <c r="L15" s="263"/>
      <c r="M15" s="211"/>
      <c r="N15" s="211"/>
      <c r="O15" s="211"/>
      <c r="P15" s="211"/>
      <c r="Q15" s="211"/>
      <c r="R15" s="211"/>
      <c r="S15" s="211"/>
      <c r="T15" s="211"/>
      <c r="U15" s="211"/>
      <c r="V15" s="211"/>
      <c r="Y15" t="s">
        <v>468</v>
      </c>
      <c r="AA15" s="263"/>
      <c r="AB15" t="s">
        <v>468</v>
      </c>
    </row>
    <row r="16" spans="1:29" ht="11.25" customHeight="1" x14ac:dyDescent="0.25">
      <c r="A16" s="211"/>
      <c r="B16" s="271" t="s">
        <v>469</v>
      </c>
      <c r="C16" s="211"/>
      <c r="D16" s="211"/>
      <c r="E16" s="263"/>
      <c r="F16" s="263"/>
      <c r="G16" s="263"/>
      <c r="H16" s="263"/>
      <c r="I16" s="263"/>
      <c r="J16" s="263"/>
      <c r="K16" s="263"/>
      <c r="L16" s="263"/>
      <c r="M16" s="211"/>
      <c r="N16" s="211"/>
      <c r="O16" s="211"/>
      <c r="P16" s="211"/>
      <c r="Q16" s="211"/>
      <c r="R16" s="211"/>
      <c r="S16" s="211"/>
      <c r="T16" s="211"/>
      <c r="U16" s="211"/>
      <c r="V16" s="211"/>
      <c r="W16" s="272" t="s">
        <v>470</v>
      </c>
      <c r="X16" s="272" t="s">
        <v>471</v>
      </c>
      <c r="Y16" t="s">
        <v>402</v>
      </c>
      <c r="Z16" s="272" t="s">
        <v>472</v>
      </c>
      <c r="AA16" s="273" t="s">
        <v>107</v>
      </c>
      <c r="AB16" t="s">
        <v>95</v>
      </c>
      <c r="AC16" s="272" t="s">
        <v>115</v>
      </c>
    </row>
    <row r="17" spans="1:29" x14ac:dyDescent="0.2">
      <c r="A17" s="211"/>
      <c r="B17" s="211"/>
      <c r="C17" s="211"/>
      <c r="D17" s="211"/>
      <c r="E17" s="274"/>
      <c r="F17" s="275"/>
      <c r="G17" s="275"/>
      <c r="H17" s="211"/>
      <c r="I17" s="211"/>
      <c r="J17" s="263"/>
      <c r="K17" s="211"/>
      <c r="L17" s="211"/>
      <c r="M17" s="211"/>
      <c r="N17" s="211"/>
      <c r="O17" s="211"/>
      <c r="P17" s="211"/>
      <c r="Q17" s="523" t="s">
        <v>634</v>
      </c>
      <c r="R17" s="523"/>
      <c r="T17" s="211"/>
      <c r="U17" s="211"/>
      <c r="V17" s="211"/>
      <c r="W17" s="272"/>
      <c r="X17" s="272"/>
      <c r="Z17" s="276"/>
      <c r="AA17" s="272"/>
      <c r="AC17" s="272"/>
    </row>
    <row r="18" spans="1:29" ht="13.5" thickBot="1" x14ac:dyDescent="0.25">
      <c r="A18" s="211"/>
      <c r="B18" s="211"/>
      <c r="C18" s="530"/>
      <c r="D18" s="277" t="s">
        <v>387</v>
      </c>
      <c r="E18" s="528"/>
      <c r="F18" s="278" t="s">
        <v>570</v>
      </c>
      <c r="G18" s="279" t="s">
        <v>473</v>
      </c>
      <c r="H18" s="277" t="s">
        <v>474</v>
      </c>
      <c r="I18" s="277" t="s">
        <v>475</v>
      </c>
      <c r="J18" s="277" t="s">
        <v>476</v>
      </c>
      <c r="K18" s="277" t="s">
        <v>106</v>
      </c>
      <c r="L18" s="277" t="s">
        <v>477</v>
      </c>
      <c r="M18" s="277" t="s">
        <v>478</v>
      </c>
      <c r="N18" s="277" t="s">
        <v>479</v>
      </c>
      <c r="O18" s="533"/>
      <c r="P18" s="277" t="s">
        <v>480</v>
      </c>
      <c r="Q18" s="277" t="s">
        <v>481</v>
      </c>
      <c r="R18" s="277" t="s">
        <v>482</v>
      </c>
      <c r="T18" s="277" t="s">
        <v>483</v>
      </c>
      <c r="U18" s="277" t="s">
        <v>484</v>
      </c>
      <c r="V18" s="280"/>
      <c r="W18" s="272"/>
      <c r="X18" s="272"/>
      <c r="Z18" s="276"/>
      <c r="AA18" s="272"/>
      <c r="AC18" s="272"/>
    </row>
    <row r="19" spans="1:29" ht="13.5" thickTop="1" x14ac:dyDescent="0.2">
      <c r="A19" s="211"/>
      <c r="B19" s="211" t="s">
        <v>493</v>
      </c>
      <c r="C19" s="211" t="s">
        <v>494</v>
      </c>
      <c r="D19" s="595">
        <v>33.729999999999997</v>
      </c>
      <c r="F19" s="534">
        <f t="shared" ref="F19:F25" si="0">D19*Z19</f>
        <v>617.59629999999993</v>
      </c>
      <c r="G19" s="534">
        <f t="shared" ref="G19:G25" si="1">F19+AC19</f>
        <v>776.59629999999993</v>
      </c>
      <c r="H19" s="536">
        <f t="shared" ref="H19:H25" si="2">F19/G19</f>
        <v>0.79526042037542544</v>
      </c>
      <c r="I19" s="535">
        <f t="shared" ref="I19:I25" si="3">W19/Z19</f>
        <v>8.9131622064445661</v>
      </c>
      <c r="J19" s="593">
        <v>2.5499999999999998</v>
      </c>
      <c r="K19" s="538">
        <f>D19/J19</f>
        <v>13.227450980392156</v>
      </c>
      <c r="L19" s="538">
        <f t="shared" ref="L19:L25" si="4">D19/I19</f>
        <v>3.7842910539215682</v>
      </c>
      <c r="M19" s="538">
        <f>D19/(X19/Z19)</f>
        <v>3.9437822477650055</v>
      </c>
      <c r="N19" s="281" t="e">
        <f t="shared" ref="N19:N25" si="5">D19/Y19</f>
        <v>#DIV/0!</v>
      </c>
      <c r="O19" s="539"/>
      <c r="P19" s="281">
        <f>(G19)/(X19*Z19)</f>
        <v>0.27084150290896181</v>
      </c>
      <c r="Q19" s="281">
        <f>G19/AA19</f>
        <v>10.033543927648576</v>
      </c>
      <c r="R19" s="281">
        <f t="shared" ref="R19:R25" si="6">G19/F19</f>
        <v>1.257449728892482</v>
      </c>
      <c r="T19" s="281" t="e">
        <f>F19/(Z19*AB19)</f>
        <v>#DIV/0!</v>
      </c>
      <c r="U19" s="281" t="e">
        <f>F19/(Y19*Z19)</f>
        <v>#DIV/0!</v>
      </c>
      <c r="V19" s="282"/>
      <c r="W19" s="283">
        <v>163.19999999999999</v>
      </c>
      <c r="X19" s="283">
        <f>41.1+38.4+36.7+40.4</f>
        <v>156.6</v>
      </c>
      <c r="Z19" s="276">
        <v>18.309999999999999</v>
      </c>
      <c r="AA19" s="283">
        <f>21.6+18.6+16.9+20.3</f>
        <v>77.400000000000006</v>
      </c>
      <c r="AB19" s="256"/>
      <c r="AC19" s="283">
        <f>48+117.1-6.1</f>
        <v>159</v>
      </c>
    </row>
    <row r="20" spans="1:29" x14ac:dyDescent="0.2">
      <c r="A20" s="211"/>
      <c r="B20" s="211" t="s">
        <v>669</v>
      </c>
      <c r="C20" s="211" t="s">
        <v>670</v>
      </c>
      <c r="D20" s="596">
        <v>57.81</v>
      </c>
      <c r="F20" s="537">
        <f t="shared" si="0"/>
        <v>3712.5581999999999</v>
      </c>
      <c r="G20" s="537">
        <f t="shared" si="1"/>
        <v>5029.8582000000006</v>
      </c>
      <c r="H20" s="536">
        <f t="shared" si="2"/>
        <v>0.73810394893438536</v>
      </c>
      <c r="I20" s="536">
        <f t="shared" si="3"/>
        <v>21.097788850825289</v>
      </c>
      <c r="J20" s="284">
        <v>2.67</v>
      </c>
      <c r="K20" s="538">
        <f>D20/J20</f>
        <v>21.651685393258429</v>
      </c>
      <c r="L20" s="538">
        <f t="shared" si="4"/>
        <v>2.740097571776515</v>
      </c>
      <c r="M20" s="538">
        <f>D20/(X20/Z20)</f>
        <v>5.4992715153310616</v>
      </c>
      <c r="N20" s="281" t="e">
        <f t="shared" si="5"/>
        <v>#DIV/0!</v>
      </c>
      <c r="O20" s="539"/>
      <c r="P20" s="281">
        <f>(G20)/(X20*Z20)</f>
        <v>0.11601585167192784</v>
      </c>
      <c r="Q20" s="281">
        <f>G20/AA20</f>
        <v>14.872437019515083</v>
      </c>
      <c r="R20" s="281">
        <f t="shared" si="6"/>
        <v>1.3548227203549295</v>
      </c>
      <c r="T20" s="281"/>
      <c r="U20" s="281"/>
      <c r="V20" s="282"/>
      <c r="W20" s="283">
        <v>1354.9</v>
      </c>
      <c r="X20" s="283">
        <f>121.3+157.4+193.8+202.6</f>
        <v>675.1</v>
      </c>
      <c r="Z20" s="276">
        <v>64.22</v>
      </c>
      <c r="AA20" s="283">
        <f>100.8+99.9+82+55.5</f>
        <v>338.2</v>
      </c>
      <c r="AB20" s="256"/>
      <c r="AC20" s="283">
        <f>1354.9-37.6</f>
        <v>1317.3000000000002</v>
      </c>
    </row>
    <row r="21" spans="1:29" x14ac:dyDescent="0.2">
      <c r="A21" s="211"/>
      <c r="B21" s="211" t="s">
        <v>487</v>
      </c>
      <c r="C21" s="211" t="s">
        <v>488</v>
      </c>
      <c r="D21" s="596">
        <v>9.4</v>
      </c>
      <c r="F21" s="537">
        <f t="shared" si="0"/>
        <v>61.513599999999997</v>
      </c>
      <c r="G21" s="537">
        <f t="shared" si="1"/>
        <v>154.31360000000001</v>
      </c>
      <c r="H21" s="536">
        <f t="shared" si="2"/>
        <v>0.39862721108184884</v>
      </c>
      <c r="I21" s="536">
        <f t="shared" si="3"/>
        <v>16.152200488997558</v>
      </c>
      <c r="J21" s="284">
        <v>0.56999999999999995</v>
      </c>
      <c r="K21" s="538">
        <f>D21/J21</f>
        <v>16.491228070175442</v>
      </c>
      <c r="L21" s="538">
        <f t="shared" si="4"/>
        <v>0.58196404919583722</v>
      </c>
      <c r="M21" s="538">
        <f>D21/(X21/Z21)</f>
        <v>0.30864826894129449</v>
      </c>
      <c r="N21" s="281" t="e">
        <f t="shared" si="5"/>
        <v>#DIV/0!</v>
      </c>
      <c r="O21" s="539"/>
      <c r="P21" s="281">
        <f>(G21)/(X21*Z21)</f>
        <v>0.1183187611407653</v>
      </c>
      <c r="Q21" s="281">
        <f>G21/AA21</f>
        <v>5.1437866666666672</v>
      </c>
      <c r="R21" s="281">
        <f t="shared" si="6"/>
        <v>2.508609478229205</v>
      </c>
      <c r="T21" s="281" t="e">
        <f>F21/(Z21*AB21)</f>
        <v>#DIV/0!</v>
      </c>
      <c r="U21" s="281" t="e">
        <f>F21/(Y21*Z21)</f>
        <v>#DIV/0!</v>
      </c>
      <c r="V21" s="282"/>
      <c r="W21" s="283">
        <v>105.7</v>
      </c>
      <c r="X21" s="283">
        <f>57.5+54.2+42.3+45.3</f>
        <v>199.3</v>
      </c>
      <c r="Z21" s="276">
        <v>6.5439999999999996</v>
      </c>
      <c r="AA21" s="283">
        <f>9.9+6.9+5.5+7.7</f>
        <v>30</v>
      </c>
      <c r="AB21" s="256"/>
      <c r="AC21" s="283">
        <f>101-8.2</f>
        <v>92.8</v>
      </c>
    </row>
    <row r="22" spans="1:29" x14ac:dyDescent="0.2">
      <c r="A22" s="211"/>
      <c r="B22" s="211" t="s">
        <v>491</v>
      </c>
      <c r="C22" s="211" t="s">
        <v>492</v>
      </c>
      <c r="D22" s="596">
        <v>16.25</v>
      </c>
      <c r="F22" s="537">
        <f t="shared" si="0"/>
        <v>886.76250000000005</v>
      </c>
      <c r="G22" s="537">
        <f t="shared" si="1"/>
        <v>2236.3175000000001</v>
      </c>
      <c r="H22" s="536">
        <f t="shared" si="2"/>
        <v>0.39652799747799677</v>
      </c>
      <c r="I22" s="536">
        <f t="shared" si="3"/>
        <v>20.323950888766721</v>
      </c>
      <c r="J22" s="594">
        <v>0.48</v>
      </c>
      <c r="K22" s="538">
        <f>IF(ISERROR(D22/J22)=TRUE,"N/A",D22/J22)</f>
        <v>33.854166666666671</v>
      </c>
      <c r="L22" s="538">
        <f t="shared" si="4"/>
        <v>0.79954926524554637</v>
      </c>
      <c r="M22" s="538">
        <f>IF(ISERROR(D22/(X22/Z22))=TRUE,"N/A",D22/(X22/Z22))</f>
        <v>0.39496082961315987</v>
      </c>
      <c r="N22" s="281" t="e">
        <f t="shared" si="5"/>
        <v>#DIV/0!</v>
      </c>
      <c r="O22" s="539"/>
      <c r="P22" s="281">
        <f>IF(ISERROR((G22)/(X22*Z22))=TRUE,"N/A",(G22)/(X22*Z22))</f>
        <v>1.8252662177020141E-2</v>
      </c>
      <c r="Q22" s="281">
        <f>G22/AA22</f>
        <v>7.5913136607273186</v>
      </c>
      <c r="R22" s="281">
        <f t="shared" si="6"/>
        <v>2.5218900212852935</v>
      </c>
      <c r="T22" s="281" t="e">
        <f>F22/(Z22*AB22)</f>
        <v>#DIV/0!</v>
      </c>
      <c r="U22" s="281" t="e">
        <f>F22/(Y22*Z22)</f>
        <v>#DIV/0!</v>
      </c>
      <c r="V22" s="282"/>
      <c r="W22" s="283">
        <v>1109.078</v>
      </c>
      <c r="X22" s="283">
        <f>1637.374+607.817</f>
        <v>2245.1909999999998</v>
      </c>
      <c r="Z22" s="276">
        <v>54.57</v>
      </c>
      <c r="AA22" s="283">
        <f>64.893+145.786+44.485+39.425</f>
        <v>294.589</v>
      </c>
      <c r="AB22" s="256"/>
      <c r="AC22" s="283">
        <f>1317.309+95.084-62.838</f>
        <v>1349.5550000000001</v>
      </c>
    </row>
    <row r="23" spans="1:29" x14ac:dyDescent="0.2">
      <c r="A23" s="211"/>
      <c r="B23" s="211" t="s">
        <v>489</v>
      </c>
      <c r="C23" s="211" t="s">
        <v>490</v>
      </c>
      <c r="D23" s="596">
        <v>25.99</v>
      </c>
      <c r="F23" s="537">
        <f t="shared" si="0"/>
        <v>855.59079999999994</v>
      </c>
      <c r="G23" s="537">
        <f t="shared" si="1"/>
        <v>1653.3907999999999</v>
      </c>
      <c r="H23" s="536">
        <f t="shared" si="2"/>
        <v>0.51747644900407086</v>
      </c>
      <c r="I23" s="536">
        <f t="shared" si="3"/>
        <v>6.8955042527339003</v>
      </c>
      <c r="J23" s="284">
        <v>1.89</v>
      </c>
      <c r="K23" s="538">
        <f>D23/J23</f>
        <v>13.751322751322752</v>
      </c>
      <c r="L23" s="538">
        <f t="shared" si="4"/>
        <v>3.769122466960352</v>
      </c>
      <c r="M23" s="538">
        <f>D23/(X23/Z23)</f>
        <v>0.29536741809645456</v>
      </c>
      <c r="N23" s="281" t="e">
        <f t="shared" si="5"/>
        <v>#DIV/0!</v>
      </c>
      <c r="O23" s="539"/>
      <c r="P23" s="281">
        <f>(G23)/(X23*Z23)</f>
        <v>1.7338525873557626E-2</v>
      </c>
      <c r="Q23" s="281">
        <f>G23/AA23</f>
        <v>11.465955617198336</v>
      </c>
      <c r="R23" s="281">
        <f t="shared" si="6"/>
        <v>1.9324550941875485</v>
      </c>
      <c r="T23" s="281" t="e">
        <f>F23/(Z23*AB23)</f>
        <v>#DIV/0!</v>
      </c>
      <c r="U23" s="281" t="e">
        <f>F23/(Y23*Z23)</f>
        <v>#DIV/0!</v>
      </c>
      <c r="V23" s="282"/>
      <c r="W23" s="283">
        <v>227</v>
      </c>
      <c r="X23" s="283">
        <f>759.2+747.7+750.7+639.1</f>
        <v>2896.7000000000003</v>
      </c>
      <c r="Z23" s="276">
        <v>32.92</v>
      </c>
      <c r="AA23" s="283">
        <f>40.4+28.4+39+36.4</f>
        <v>144.19999999999999</v>
      </c>
      <c r="AB23" s="256"/>
      <c r="AC23" s="283">
        <f>822.8-25</f>
        <v>797.8</v>
      </c>
    </row>
    <row r="24" spans="1:29" x14ac:dyDescent="0.2">
      <c r="A24" s="211"/>
      <c r="B24" s="211" t="s">
        <v>485</v>
      </c>
      <c r="C24" s="211" t="s">
        <v>486</v>
      </c>
      <c r="D24" s="596">
        <v>4</v>
      </c>
      <c r="F24" s="537">
        <f t="shared" si="0"/>
        <v>127</v>
      </c>
      <c r="G24" s="537">
        <f t="shared" si="1"/>
        <v>315.10000000000002</v>
      </c>
      <c r="H24" s="536">
        <f t="shared" si="2"/>
        <v>0.40304665185655347</v>
      </c>
      <c r="I24" s="536">
        <f t="shared" si="3"/>
        <v>10.456692913385826</v>
      </c>
      <c r="J24" s="284">
        <v>-7.0000000000000007E-2</v>
      </c>
      <c r="K24" s="538">
        <f>D24/J24</f>
        <v>-57.142857142857139</v>
      </c>
      <c r="L24" s="538">
        <f t="shared" si="4"/>
        <v>0.38253012048192775</v>
      </c>
      <c r="M24" s="538">
        <f>D24/(X24/Z24)</f>
        <v>2.4882932659338938E-2</v>
      </c>
      <c r="N24" s="281" t="e">
        <f t="shared" si="5"/>
        <v>#DIV/0!</v>
      </c>
      <c r="O24" s="539"/>
      <c r="P24" s="281">
        <f>(G24)/(X24*Z24)</f>
        <v>1.9444756850288797E-3</v>
      </c>
      <c r="Q24" s="281">
        <f>IF(G24/AA24&lt;0,"N/A",G24/AA24)</f>
        <v>5.0335463258785946</v>
      </c>
      <c r="R24" s="281">
        <f t="shared" si="6"/>
        <v>2.4811023622047248</v>
      </c>
      <c r="T24" s="281" t="e">
        <f>F24/(Z24*AB24)</f>
        <v>#DIV/0!</v>
      </c>
      <c r="U24" s="281" t="e">
        <f>F24/(Y24*Z24)</f>
        <v>#DIV/0!</v>
      </c>
      <c r="V24" s="282"/>
      <c r="W24" s="283">
        <v>332</v>
      </c>
      <c r="X24" s="283">
        <f>1290.4+1214.1+1389.9+1209.5</f>
        <v>5103.8999999999996</v>
      </c>
      <c r="Z24" s="276">
        <v>31.75</v>
      </c>
      <c r="AA24" s="283">
        <f>12.7+9.1+16.9+23.9</f>
        <v>62.599999999999994</v>
      </c>
      <c r="AB24" s="256"/>
      <c r="AC24" s="283">
        <f>2.4+209.4-23.7</f>
        <v>188.10000000000002</v>
      </c>
    </row>
    <row r="25" spans="1:29" x14ac:dyDescent="0.2">
      <c r="A25" s="211"/>
      <c r="B25" s="211" t="s">
        <v>667</v>
      </c>
      <c r="C25" s="575" t="s">
        <v>668</v>
      </c>
      <c r="D25" s="597">
        <v>29.2</v>
      </c>
      <c r="E25" s="134"/>
      <c r="F25" s="541">
        <f t="shared" si="0"/>
        <v>339.77750719999995</v>
      </c>
      <c r="G25" s="541">
        <f t="shared" si="1"/>
        <v>429.87750719999997</v>
      </c>
      <c r="H25" s="542">
        <f t="shared" si="2"/>
        <v>0.79040540970178952</v>
      </c>
      <c r="I25" s="542">
        <f t="shared" si="3"/>
        <v>18.720948459533581</v>
      </c>
      <c r="J25" s="592">
        <f>(16.057*1.333333)/Z25</f>
        <v>1.8398874669394245</v>
      </c>
      <c r="K25" s="540">
        <f>D25/J25</f>
        <v>15.87053584781083</v>
      </c>
      <c r="L25" s="540">
        <f t="shared" si="4"/>
        <v>1.5597500341992554</v>
      </c>
      <c r="M25" s="540">
        <f>D25/(X25/Z25)</f>
        <v>4.3430664579115605</v>
      </c>
      <c r="N25" s="543" t="e">
        <f t="shared" si="5"/>
        <v>#DIV/0!</v>
      </c>
      <c r="O25" s="544"/>
      <c r="P25" s="543">
        <f>(G25)/(X25*Z25)</f>
        <v>0.47220958332274882</v>
      </c>
      <c r="Q25" s="543">
        <f>IF(G25/AA25&lt;0,"N/A",G25/AA25)</f>
        <v>11.508850447002965</v>
      </c>
      <c r="R25" s="543">
        <f t="shared" si="6"/>
        <v>1.2651735270603575</v>
      </c>
      <c r="T25" s="281"/>
      <c r="U25" s="281"/>
      <c r="V25" s="282"/>
      <c r="W25" s="283">
        <v>217.84100000000001</v>
      </c>
      <c r="X25" s="283">
        <f>58.676*1.33333</f>
        <v>78.234471079999992</v>
      </c>
      <c r="Z25" s="276">
        <f>5.679698+5.679694+0.231824+0.045</f>
        <v>11.636215999999999</v>
      </c>
      <c r="AA25" s="283">
        <f>28.014*1.33333</f>
        <v>37.351906619999994</v>
      </c>
      <c r="AB25" s="256"/>
      <c r="AC25" s="283">
        <v>90.1</v>
      </c>
    </row>
    <row r="26" spans="1:29" x14ac:dyDescent="0.2">
      <c r="A26" s="211"/>
      <c r="B26" s="211"/>
      <c r="C26" s="211"/>
      <c r="D26" s="545"/>
      <c r="F26" s="546"/>
      <c r="G26" s="546"/>
      <c r="H26" s="547"/>
      <c r="I26" s="547"/>
      <c r="J26" s="547"/>
      <c r="K26" s="538"/>
      <c r="L26" s="538"/>
      <c r="M26" s="538"/>
      <c r="N26" s="289"/>
      <c r="O26" s="548"/>
      <c r="P26" s="289"/>
      <c r="Q26" s="289"/>
      <c r="R26" s="289"/>
      <c r="T26" s="281"/>
      <c r="U26" s="281"/>
      <c r="V26" s="282"/>
      <c r="W26" s="283"/>
      <c r="X26" s="283"/>
      <c r="Z26" s="276"/>
      <c r="AA26" s="283"/>
      <c r="AB26" s="286"/>
      <c r="AC26" s="283"/>
    </row>
    <row r="27" spans="1:29" x14ac:dyDescent="0.2">
      <c r="A27" s="211"/>
      <c r="B27" s="211"/>
      <c r="C27" s="523" t="s">
        <v>629</v>
      </c>
      <c r="D27" s="284"/>
      <c r="F27" s="285"/>
      <c r="G27" s="287"/>
      <c r="H27" s="549">
        <f>AVERAGE(H19:H25)</f>
        <v>0.57706401263315299</v>
      </c>
      <c r="I27" s="284"/>
      <c r="J27" s="284"/>
      <c r="K27" s="551">
        <f>AVERAGE(K19:K25)</f>
        <v>8.2433617952527332</v>
      </c>
      <c r="L27" s="552">
        <f>AVERAGE(L19:L25)</f>
        <v>1.9453292231115717</v>
      </c>
      <c r="M27" s="552">
        <f>AVERAGE(M19:M25)</f>
        <v>2.1157113814739819</v>
      </c>
      <c r="N27" s="288" t="e">
        <f>AVERAGE(N19:N25)</f>
        <v>#DIV/0!</v>
      </c>
      <c r="O27" s="553"/>
      <c r="P27" s="288">
        <f>AVERAGE(P19:P25)</f>
        <v>0.14498876611143005</v>
      </c>
      <c r="Q27" s="288">
        <f>AVERAGE(Q19:Q25)</f>
        <v>9.3784905235196483</v>
      </c>
      <c r="R27" s="554">
        <f>AVERAGE(R19:R25)</f>
        <v>1.9030718474592201</v>
      </c>
      <c r="T27" s="288" t="e">
        <f>AVERAGE(T19:T25)</f>
        <v>#DIV/0!</v>
      </c>
      <c r="U27" s="288" t="e">
        <f>AVERAGE(U19,U20:U25)</f>
        <v>#DIV/0!</v>
      </c>
      <c r="V27" s="282"/>
      <c r="AA27" s="263"/>
    </row>
    <row r="28" spans="1:29" x14ac:dyDescent="0.2">
      <c r="A28" s="211"/>
      <c r="B28" s="211"/>
      <c r="C28" s="523" t="s">
        <v>495</v>
      </c>
      <c r="D28" s="284"/>
      <c r="F28" s="285"/>
      <c r="G28" s="284"/>
      <c r="H28" s="550">
        <f>MEDIAN(H19:H25)</f>
        <v>0.51747644900407086</v>
      </c>
      <c r="I28" s="284"/>
      <c r="J28" s="284"/>
      <c r="K28" s="555">
        <f>MEDIAN(K19:K25)</f>
        <v>15.87053584781083</v>
      </c>
      <c r="L28" s="540">
        <f>MEDIAN(L19:L25)</f>
        <v>1.5597500341992554</v>
      </c>
      <c r="M28" s="540">
        <f>MEDIAN(M19:M25)</f>
        <v>0.39496082961315987</v>
      </c>
      <c r="N28" s="543" t="e">
        <f>MEDIAN(N19,N20:N25)</f>
        <v>#DIV/0!</v>
      </c>
      <c r="O28" s="544"/>
      <c r="P28" s="543">
        <f>MEDIAN(P19:P25)</f>
        <v>0.11601585167192784</v>
      </c>
      <c r="Q28" s="543">
        <f>MEDIAN(Q19:Q25)</f>
        <v>10.033543927648576</v>
      </c>
      <c r="R28" s="556">
        <f>MEDIAN(R19:R25)</f>
        <v>1.9324550941875485</v>
      </c>
      <c r="T28" s="289" t="e">
        <f>MEDIAN(T19,T20:T25)</f>
        <v>#DIV/0!</v>
      </c>
      <c r="U28" s="289" t="e">
        <f>MEDIAN(U19,U20:U25)</f>
        <v>#DIV/0!</v>
      </c>
      <c r="V28" s="289"/>
      <c r="AA28" s="263"/>
    </row>
    <row r="29" spans="1:29" x14ac:dyDescent="0.2">
      <c r="A29" s="211"/>
      <c r="B29" s="211"/>
      <c r="C29" s="211"/>
      <c r="D29" s="263"/>
      <c r="E29" s="263"/>
      <c r="F29" s="263"/>
      <c r="G29" s="263"/>
      <c r="H29" s="263"/>
      <c r="I29" s="263"/>
      <c r="J29" s="263"/>
      <c r="K29" s="211"/>
      <c r="L29" s="211"/>
      <c r="M29" s="211"/>
      <c r="N29" s="211"/>
      <c r="O29" s="211"/>
      <c r="P29" s="211"/>
      <c r="Q29" s="211"/>
      <c r="T29" s="211"/>
      <c r="U29" s="211"/>
      <c r="V29" s="211"/>
      <c r="AA29" s="263"/>
    </row>
    <row r="30" spans="1:29" x14ac:dyDescent="0.2">
      <c r="A30" s="211"/>
      <c r="B30" s="211" t="s">
        <v>496</v>
      </c>
      <c r="C30" s="211"/>
      <c r="D30" s="211"/>
      <c r="E30" s="263"/>
      <c r="F30" s="263"/>
      <c r="G30" s="263"/>
      <c r="H30" s="263"/>
      <c r="I30" s="263"/>
      <c r="J30" s="263"/>
      <c r="K30" s="263"/>
      <c r="L30" s="263"/>
      <c r="M30" s="211"/>
      <c r="N30" s="211"/>
      <c r="O30" s="211"/>
      <c r="P30" s="211"/>
      <c r="Q30" s="211"/>
      <c r="R30" s="211"/>
      <c r="S30" s="211"/>
      <c r="T30" s="211"/>
      <c r="U30" s="211"/>
      <c r="V30" s="211"/>
      <c r="AA30" s="263"/>
    </row>
    <row r="31" spans="1:29" x14ac:dyDescent="0.2">
      <c r="A31" s="211"/>
      <c r="B31" s="211" t="s">
        <v>994</v>
      </c>
      <c r="C31" s="211"/>
      <c r="D31" s="211"/>
      <c r="E31" s="263"/>
      <c r="F31" s="263"/>
      <c r="G31" s="263"/>
      <c r="H31" s="263"/>
      <c r="I31" s="263"/>
      <c r="J31" s="263"/>
      <c r="K31" s="263"/>
      <c r="L31" s="263"/>
      <c r="M31" s="211"/>
      <c r="N31" s="211"/>
      <c r="O31" s="211"/>
      <c r="P31" s="211"/>
      <c r="Q31" s="211"/>
      <c r="R31" s="211"/>
      <c r="S31" s="211"/>
      <c r="T31" s="211"/>
      <c r="U31" s="211"/>
      <c r="V31" s="211"/>
      <c r="AA31" s="263"/>
    </row>
    <row r="32" spans="1:29" x14ac:dyDescent="0.2">
      <c r="A32" s="211"/>
      <c r="B32" s="211"/>
      <c r="C32" s="211"/>
      <c r="D32" s="211"/>
      <c r="E32" s="263"/>
      <c r="F32" s="263"/>
      <c r="G32" s="263"/>
      <c r="H32" s="263"/>
      <c r="I32" s="263"/>
      <c r="J32" s="263"/>
      <c r="K32" s="263"/>
      <c r="L32" s="263"/>
      <c r="M32" s="211"/>
      <c r="N32" s="211"/>
      <c r="O32" s="211"/>
      <c r="P32" s="211"/>
      <c r="Q32" s="211"/>
      <c r="R32" s="211"/>
      <c r="S32" s="211"/>
      <c r="T32" s="211"/>
      <c r="U32" s="211"/>
      <c r="V32" s="211"/>
      <c r="AA32" s="263"/>
    </row>
    <row r="33" spans="1:27" x14ac:dyDescent="0.2">
      <c r="A33" s="211"/>
      <c r="B33" s="211"/>
      <c r="C33" s="211"/>
      <c r="D33" s="211"/>
      <c r="E33" s="263"/>
      <c r="F33" s="263"/>
      <c r="G33" s="263"/>
      <c r="H33" s="263"/>
      <c r="I33" s="263"/>
      <c r="J33" s="263"/>
      <c r="K33" s="263"/>
      <c r="L33" s="263"/>
      <c r="M33" s="211"/>
      <c r="N33" s="211"/>
      <c r="O33" s="211"/>
      <c r="P33" s="211"/>
      <c r="Q33" s="211"/>
      <c r="R33" s="211"/>
      <c r="S33" s="211"/>
      <c r="T33" s="211"/>
      <c r="U33" s="211"/>
      <c r="V33" s="211"/>
      <c r="AA33" s="263"/>
    </row>
    <row r="34" spans="1:27" x14ac:dyDescent="0.2">
      <c r="A34" s="211"/>
      <c r="B34" s="211"/>
      <c r="C34" s="211"/>
      <c r="D34" s="211"/>
      <c r="E34" s="263"/>
      <c r="F34" s="263"/>
      <c r="G34" s="263"/>
      <c r="H34" s="263"/>
      <c r="I34" s="263"/>
      <c r="J34" s="263"/>
      <c r="K34" s="263"/>
      <c r="L34" s="263"/>
      <c r="M34" s="211"/>
      <c r="N34" s="211"/>
      <c r="O34" s="211"/>
      <c r="P34" s="211"/>
      <c r="Q34" s="211"/>
      <c r="R34" s="211"/>
      <c r="S34" s="211"/>
      <c r="T34" s="211"/>
      <c r="U34" s="211"/>
      <c r="V34" s="211"/>
      <c r="AA34" s="263"/>
    </row>
    <row r="35" spans="1:27" x14ac:dyDescent="0.2">
      <c r="F35" s="263"/>
    </row>
    <row r="36" spans="1:27" s="360" customFormat="1" ht="13.5" thickBot="1" x14ac:dyDescent="0.25">
      <c r="F36" s="387"/>
    </row>
    <row r="37" spans="1:27" s="110" customFormat="1" x14ac:dyDescent="0.2">
      <c r="F37" s="263"/>
    </row>
    <row r="38" spans="1:27" s="110" customFormat="1" x14ac:dyDescent="0.2">
      <c r="F38" s="263"/>
    </row>
    <row r="39" spans="1:27" s="110" customFormat="1" x14ac:dyDescent="0.2">
      <c r="F39" s="263"/>
    </row>
    <row r="40" spans="1:27" s="110" customFormat="1" x14ac:dyDescent="0.2">
      <c r="F40" s="263"/>
    </row>
    <row r="41" spans="1:27" s="110" customFormat="1" x14ac:dyDescent="0.2">
      <c r="F41" s="263"/>
    </row>
    <row r="42" spans="1:27" ht="15.75" x14ac:dyDescent="0.25">
      <c r="B42" s="181" t="s">
        <v>633</v>
      </c>
      <c r="F42" s="263"/>
    </row>
    <row r="43" spans="1:27" x14ac:dyDescent="0.2">
      <c r="F43" s="263"/>
    </row>
    <row r="45" spans="1:27" x14ac:dyDescent="0.2">
      <c r="B45" s="516" t="s">
        <v>610</v>
      </c>
      <c r="C45" s="149"/>
      <c r="D45" s="149"/>
      <c r="E45"/>
      <c r="F45" s="149"/>
      <c r="G45" s="149"/>
      <c r="H45" s="149"/>
      <c r="I45" s="149"/>
      <c r="J45" s="149"/>
      <c r="K45" s="149"/>
    </row>
    <row r="46" spans="1:27" x14ac:dyDescent="0.2">
      <c r="B46" s="149"/>
      <c r="C46" s="149"/>
      <c r="D46" s="149"/>
      <c r="E46"/>
      <c r="F46" s="149"/>
      <c r="G46" s="149"/>
      <c r="H46" s="149"/>
      <c r="I46" s="149"/>
      <c r="J46" s="149"/>
      <c r="K46" s="149"/>
    </row>
    <row r="47" spans="1:27" ht="13.5" thickBot="1" x14ac:dyDescent="0.25">
      <c r="B47" s="517"/>
      <c r="C47" s="531" t="s">
        <v>611</v>
      </c>
      <c r="D47" s="531" t="s">
        <v>612</v>
      </c>
      <c r="E47" s="528"/>
      <c r="F47" s="531" t="s">
        <v>613</v>
      </c>
      <c r="G47" s="531" t="s">
        <v>614</v>
      </c>
      <c r="H47" s="531" t="s">
        <v>440</v>
      </c>
      <c r="I47" s="531" t="s">
        <v>615</v>
      </c>
      <c r="J47" s="531" t="s">
        <v>636</v>
      </c>
      <c r="K47" s="531" t="s">
        <v>616</v>
      </c>
      <c r="L47" s="531" t="s">
        <v>617</v>
      </c>
      <c r="M47" s="110"/>
    </row>
    <row r="48" spans="1:27" ht="13.5" thickTop="1" x14ac:dyDescent="0.2">
      <c r="B48" s="149"/>
      <c r="C48" s="149"/>
      <c r="D48" s="149"/>
      <c r="F48" s="149"/>
      <c r="G48" s="149"/>
      <c r="H48" s="149"/>
      <c r="I48" s="149"/>
      <c r="J48" s="149"/>
      <c r="K48" s="149"/>
      <c r="L48" s="149"/>
    </row>
    <row r="49" spans="2:13" x14ac:dyDescent="0.2">
      <c r="B49" s="149"/>
      <c r="C49" s="224" t="s">
        <v>618</v>
      </c>
      <c r="D49" s="149" t="s">
        <v>619</v>
      </c>
      <c r="F49" s="149" t="s">
        <v>620</v>
      </c>
      <c r="G49" s="518">
        <v>1150</v>
      </c>
      <c r="H49" s="518">
        <v>515.78899999999999</v>
      </c>
      <c r="I49" s="518">
        <v>131.70500000000001</v>
      </c>
      <c r="J49" s="518">
        <v>83.591999999999999</v>
      </c>
      <c r="K49" s="519">
        <f>G49/I49</f>
        <v>8.7316350935803495</v>
      </c>
      <c r="L49" s="519">
        <f>G49/H49</f>
        <v>2.2295938843209142</v>
      </c>
    </row>
    <row r="50" spans="2:13" ht="14.25" x14ac:dyDescent="0.2">
      <c r="B50" s="149"/>
      <c r="C50" s="224" t="s">
        <v>621</v>
      </c>
      <c r="D50" s="149" t="s">
        <v>622</v>
      </c>
      <c r="F50" s="520">
        <v>36899</v>
      </c>
      <c r="G50" s="518">
        <v>490</v>
      </c>
      <c r="H50" s="518">
        <v>122.435</v>
      </c>
      <c r="I50" s="518">
        <v>82</v>
      </c>
      <c r="J50" s="149" t="s">
        <v>623</v>
      </c>
      <c r="K50" s="519">
        <f>G50/I50</f>
        <v>5.975609756097561</v>
      </c>
      <c r="L50" s="519">
        <f>G50/H50</f>
        <v>4.0021235757749007</v>
      </c>
    </row>
    <row r="51" spans="2:13" x14ac:dyDescent="0.2">
      <c r="B51" s="149"/>
      <c r="C51" s="576" t="s">
        <v>624</v>
      </c>
      <c r="D51" s="144" t="s">
        <v>632</v>
      </c>
      <c r="E51" s="134"/>
      <c r="F51" s="557">
        <v>36526</v>
      </c>
      <c r="G51" s="558">
        <v>131.19999999999999</v>
      </c>
      <c r="H51" s="558" t="s">
        <v>623</v>
      </c>
      <c r="I51" s="558">
        <v>10.881</v>
      </c>
      <c r="J51" s="144" t="s">
        <v>623</v>
      </c>
      <c r="K51" s="559">
        <f>G51/I51</f>
        <v>12.057715283521734</v>
      </c>
      <c r="L51" s="559" t="s">
        <v>623</v>
      </c>
      <c r="M51" s="110"/>
    </row>
    <row r="52" spans="2:13" x14ac:dyDescent="0.2">
      <c r="B52" s="149"/>
      <c r="C52" s="149"/>
      <c r="D52" s="149"/>
      <c r="E52" s="520"/>
      <c r="F52" s="518"/>
      <c r="G52" s="518"/>
      <c r="H52" s="518"/>
      <c r="I52" s="518"/>
      <c r="J52" s="149"/>
      <c r="K52" s="518"/>
    </row>
    <row r="53" spans="2:13" x14ac:dyDescent="0.2">
      <c r="B53" s="149"/>
      <c r="C53" s="149"/>
      <c r="D53" s="149"/>
      <c r="E53" s="520"/>
      <c r="F53" s="518"/>
      <c r="G53" s="518"/>
      <c r="H53" s="518"/>
      <c r="I53" s="518"/>
      <c r="J53" s="149"/>
      <c r="K53" s="518"/>
    </row>
    <row r="54" spans="2:13" x14ac:dyDescent="0.2">
      <c r="B54" s="516" t="s">
        <v>625</v>
      </c>
      <c r="C54" s="149"/>
      <c r="D54" s="149"/>
      <c r="E54" s="520"/>
      <c r="F54" s="518"/>
      <c r="G54" s="518"/>
      <c r="H54" s="518"/>
      <c r="I54" s="518"/>
      <c r="J54" s="149"/>
      <c r="K54" s="518"/>
    </row>
    <row r="55" spans="2:13" x14ac:dyDescent="0.2">
      <c r="B55" s="516"/>
      <c r="C55" s="149"/>
      <c r="D55" s="149"/>
      <c r="E55" s="520"/>
      <c r="F55" s="518"/>
      <c r="G55" s="518"/>
      <c r="H55" s="518"/>
      <c r="I55" s="518"/>
      <c r="J55" s="149"/>
      <c r="K55" s="518"/>
    </row>
    <row r="56" spans="2:13" ht="13.5" thickBot="1" x14ac:dyDescent="0.25">
      <c r="B56" s="149"/>
      <c r="C56" s="531" t="s">
        <v>611</v>
      </c>
      <c r="D56" s="531" t="s">
        <v>612</v>
      </c>
      <c r="E56" s="532"/>
      <c r="F56" s="531" t="s">
        <v>613</v>
      </c>
      <c r="G56" s="531" t="s">
        <v>614</v>
      </c>
      <c r="H56" s="531" t="s">
        <v>440</v>
      </c>
      <c r="I56" s="531" t="s">
        <v>615</v>
      </c>
      <c r="J56" s="531" t="s">
        <v>636</v>
      </c>
      <c r="K56" s="531" t="s">
        <v>616</v>
      </c>
      <c r="L56" s="531" t="s">
        <v>617</v>
      </c>
      <c r="M56" s="146"/>
    </row>
    <row r="57" spans="2:13" ht="13.5" thickTop="1" x14ac:dyDescent="0.2">
      <c r="B57" s="149"/>
      <c r="C57" s="586"/>
      <c r="D57" s="586"/>
      <c r="E57" s="146"/>
      <c r="F57" s="586"/>
      <c r="G57" s="586"/>
      <c r="H57" s="586"/>
      <c r="I57" s="586"/>
      <c r="J57" s="586"/>
      <c r="K57" s="586"/>
      <c r="L57" s="586"/>
      <c r="M57" s="146"/>
    </row>
    <row r="58" spans="2:13" x14ac:dyDescent="0.2">
      <c r="B58" s="149"/>
      <c r="C58" s="149" t="s">
        <v>671</v>
      </c>
      <c r="D58" s="149" t="s">
        <v>672</v>
      </c>
      <c r="F58" s="598">
        <v>36678</v>
      </c>
      <c r="G58" s="518">
        <v>529</v>
      </c>
      <c r="H58" s="518">
        <f>263.9+8</f>
        <v>271.89999999999998</v>
      </c>
      <c r="I58" s="518">
        <v>55.1</v>
      </c>
      <c r="J58" s="149">
        <v>222.39</v>
      </c>
      <c r="K58" s="519">
        <f>G58/I58</f>
        <v>9.6007259528130664</v>
      </c>
      <c r="L58" s="519">
        <f>G58/H58</f>
        <v>1.9455682236116221</v>
      </c>
    </row>
    <row r="59" spans="2:13" x14ac:dyDescent="0.2">
      <c r="B59" s="149"/>
      <c r="C59" s="149" t="s">
        <v>626</v>
      </c>
      <c r="D59" s="149" t="s">
        <v>627</v>
      </c>
      <c r="F59" s="520">
        <v>36831</v>
      </c>
      <c r="G59" s="518">
        <v>8126</v>
      </c>
      <c r="H59" s="518">
        <v>3703</v>
      </c>
      <c r="I59" s="518">
        <v>877.4</v>
      </c>
      <c r="J59" s="149">
        <v>523.29999999999995</v>
      </c>
      <c r="K59" s="519">
        <f>G59/I59</f>
        <v>9.2614542967859581</v>
      </c>
      <c r="L59" s="519">
        <f>G59/H59</f>
        <v>2.1944369430191735</v>
      </c>
    </row>
    <row r="60" spans="2:13" x14ac:dyDescent="0.2">
      <c r="B60" s="149"/>
      <c r="C60" s="149" t="s">
        <v>637</v>
      </c>
      <c r="D60" s="149" t="s">
        <v>638</v>
      </c>
      <c r="F60" s="520" t="s">
        <v>639</v>
      </c>
      <c r="G60" s="518">
        <v>45.3</v>
      </c>
      <c r="H60" s="518">
        <v>33</v>
      </c>
      <c r="I60" s="518">
        <v>4.3</v>
      </c>
      <c r="J60" s="149">
        <v>2.1</v>
      </c>
      <c r="K60" s="519">
        <v>10.6</v>
      </c>
      <c r="L60" s="519">
        <v>1.4</v>
      </c>
    </row>
    <row r="61" spans="2:13" x14ac:dyDescent="0.2">
      <c r="B61" s="149"/>
      <c r="C61" s="144" t="s">
        <v>628</v>
      </c>
      <c r="D61" s="144" t="s">
        <v>641</v>
      </c>
      <c r="E61" s="134"/>
      <c r="F61" s="557">
        <v>36920</v>
      </c>
      <c r="G61" s="558">
        <v>16028</v>
      </c>
      <c r="H61" s="144">
        <v>4687.8</v>
      </c>
      <c r="I61" s="558">
        <v>1475</v>
      </c>
      <c r="J61" s="558">
        <v>1094.3</v>
      </c>
      <c r="K61" s="559">
        <f>G61/I61</f>
        <v>10.866440677966102</v>
      </c>
      <c r="L61" s="559">
        <f>G61/H61</f>
        <v>3.4190878450445839</v>
      </c>
    </row>
    <row r="62" spans="2:13" x14ac:dyDescent="0.2">
      <c r="B62" s="149"/>
      <c r="C62" s="521"/>
      <c r="D62" s="149"/>
      <c r="F62"/>
      <c r="G62" s="518"/>
      <c r="H62" s="149"/>
      <c r="I62" s="149"/>
      <c r="J62" s="149"/>
      <c r="K62" s="519"/>
      <c r="L62" s="149"/>
    </row>
    <row r="63" spans="2:13" x14ac:dyDescent="0.2">
      <c r="B63" s="149"/>
      <c r="C63" s="517" t="s">
        <v>629</v>
      </c>
      <c r="D63" s="149"/>
      <c r="F63"/>
      <c r="G63" s="518"/>
      <c r="H63" s="149"/>
      <c r="I63" s="518"/>
      <c r="J63" s="518"/>
      <c r="K63" s="524">
        <f>AVERAGE(K49:K51,K58:K61)</f>
        <v>9.5847972943949653</v>
      </c>
      <c r="L63" s="525">
        <f>AVERAGE(L49:L50,L58:L61)</f>
        <v>2.5318017452951991</v>
      </c>
    </row>
    <row r="64" spans="2:13" x14ac:dyDescent="0.2">
      <c r="B64" s="149"/>
      <c r="C64" s="517" t="s">
        <v>495</v>
      </c>
      <c r="D64" s="149"/>
      <c r="F64"/>
      <c r="G64" s="518"/>
      <c r="H64" s="149"/>
      <c r="I64" s="518"/>
      <c r="J64" s="518"/>
      <c r="K64" s="526">
        <f>MEDIAN(K49:K51,K58:K61)</f>
        <v>9.6007259528130664</v>
      </c>
      <c r="L64" s="527">
        <f>MEDIAN(L49:L50,L58:L61)</f>
        <v>2.2120154136700441</v>
      </c>
    </row>
    <row r="65" spans="2:11" x14ac:dyDescent="0.2">
      <c r="B65" s="149"/>
      <c r="C65" s="149"/>
      <c r="D65" s="149"/>
      <c r="E65"/>
      <c r="F65" s="518"/>
      <c r="G65" s="149"/>
      <c r="H65" s="518"/>
      <c r="I65" s="518"/>
      <c r="J65" s="149"/>
      <c r="K65" s="149"/>
    </row>
    <row r="66" spans="2:11" x14ac:dyDescent="0.2">
      <c r="B66" s="149"/>
      <c r="C66" s="149"/>
      <c r="D66" s="149"/>
      <c r="E66"/>
      <c r="F66" s="518"/>
      <c r="G66" s="149"/>
      <c r="H66" s="518"/>
      <c r="I66" s="518"/>
      <c r="J66" s="149"/>
      <c r="K66" s="149"/>
    </row>
    <row r="67" spans="2:11" x14ac:dyDescent="0.2">
      <c r="B67" s="149"/>
      <c r="C67" s="149"/>
      <c r="D67" s="149"/>
      <c r="E67"/>
      <c r="F67" s="518"/>
      <c r="G67" s="149"/>
      <c r="H67" s="518"/>
      <c r="I67" s="518"/>
      <c r="J67" s="149"/>
      <c r="K67" s="149"/>
    </row>
    <row r="68" spans="2:11" x14ac:dyDescent="0.2">
      <c r="B68" s="522" t="s">
        <v>630</v>
      </c>
      <c r="D68" s="149"/>
      <c r="E68"/>
      <c r="F68" s="518"/>
      <c r="G68" s="149"/>
      <c r="H68" s="518"/>
      <c r="I68" s="518"/>
      <c r="J68" s="149"/>
      <c r="K68" s="149"/>
    </row>
    <row r="69" spans="2:11" x14ac:dyDescent="0.2">
      <c r="B69" s="522" t="s">
        <v>631</v>
      </c>
      <c r="D69" s="149"/>
      <c r="E69"/>
      <c r="F69" s="518"/>
      <c r="G69" s="149"/>
      <c r="H69" s="518"/>
      <c r="I69" s="518"/>
      <c r="J69" s="149"/>
      <c r="K69" s="149"/>
    </row>
    <row r="70" spans="2:11" x14ac:dyDescent="0.2">
      <c r="B70" s="577" t="s">
        <v>642</v>
      </c>
      <c r="D70" s="149"/>
      <c r="E70"/>
      <c r="F70" s="518"/>
      <c r="G70" s="149"/>
      <c r="H70" s="518"/>
      <c r="I70" s="518"/>
      <c r="J70" s="149"/>
      <c r="K70" s="149"/>
    </row>
    <row r="71" spans="2:11" x14ac:dyDescent="0.2">
      <c r="B71" s="577" t="s">
        <v>643</v>
      </c>
      <c r="D71" s="149"/>
      <c r="E71"/>
      <c r="F71" s="518"/>
      <c r="G71" s="149"/>
      <c r="H71" s="518"/>
      <c r="I71" s="518"/>
      <c r="J71" s="149"/>
      <c r="K71" s="149"/>
    </row>
    <row r="72" spans="2:11" x14ac:dyDescent="0.2">
      <c r="B72" s="577" t="s">
        <v>640</v>
      </c>
      <c r="C72" s="149"/>
      <c r="D72" s="149"/>
      <c r="E72" s="149"/>
      <c r="F72"/>
      <c r="G72" s="149"/>
      <c r="H72" s="518"/>
      <c r="I72" s="518"/>
      <c r="J72" s="149"/>
      <c r="K72" s="149"/>
    </row>
  </sheetData>
  <printOptions horizontalCentered="1"/>
  <pageMargins left="0.75" right="0.75" top="0.53" bottom="1" header="0.5" footer="0.5"/>
  <pageSetup scale="48" orientation="landscape" verticalDpi="300" r:id="rId1"/>
  <headerFooter alignWithMargins="0">
    <oddFooter>&amp;L&amp;7&amp;D &amp;T&amp;C&amp;8&amp;P&amp;R&amp;7o:/Corpdev/North America/Raul/Ammonia/&amp;F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
  <sheetViews>
    <sheetView workbookViewId="0">
      <selection activeCell="K28" sqref="K28"/>
    </sheetView>
  </sheetViews>
  <sheetFormatPr defaultRowHeight="12.75" x14ac:dyDescent="0.2"/>
  <sheetData>
    <row r="1" spans="1:7" ht="27" thickBot="1" x14ac:dyDescent="0.45">
      <c r="A1" s="354" t="s">
        <v>518</v>
      </c>
      <c r="B1" s="339"/>
      <c r="C1" s="339"/>
      <c r="D1" s="340"/>
      <c r="E1" s="340"/>
      <c r="F1" s="340"/>
      <c r="G1" s="355" t="s">
        <v>565</v>
      </c>
    </row>
    <row r="12" spans="1:7" ht="23.25" x14ac:dyDescent="0.35">
      <c r="B12" s="644" t="s">
        <v>794</v>
      </c>
    </row>
  </sheetData>
  <printOptions horizontalCentered="1"/>
  <pageMargins left="0.75" right="0.75" top="1.3" bottom="1" header="0.5" footer="0.5"/>
  <pageSetup orientation="landscape" verticalDpi="0" r:id="rId1"/>
  <headerFooter alignWithMargins="0">
    <oddFooter>&amp;L&amp;7&amp;D &amp;T&amp;C&amp;8&amp;P&amp;R&amp;7o:/Corpdev/North America/Raul/Ammonia/&amp;F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25"/>
  <sheetViews>
    <sheetView showGridLines="0" topLeftCell="A54" zoomScale="75" zoomScaleNormal="75" workbookViewId="0">
      <selection activeCell="G105" sqref="G105"/>
    </sheetView>
  </sheetViews>
  <sheetFormatPr defaultRowHeight="12.75" outlineLevelRow="1" x14ac:dyDescent="0.2"/>
  <cols>
    <col min="1" max="1" width="10.42578125" style="162" customWidth="1"/>
    <col min="4" max="4" width="15.85546875" customWidth="1"/>
    <col min="5" max="5" width="12.140625" customWidth="1"/>
    <col min="6" max="6" width="14.42578125" customWidth="1"/>
    <col min="7" max="8" width="10.5703125" customWidth="1"/>
    <col min="9" max="9" width="10.5703125" bestFit="1" customWidth="1"/>
    <col min="10" max="10" width="10.85546875" bestFit="1" customWidth="1"/>
    <col min="11" max="11" width="10.5703125" bestFit="1" customWidth="1"/>
    <col min="12" max="12" width="10.85546875" bestFit="1" customWidth="1"/>
    <col min="13" max="14" width="10.5703125" customWidth="1"/>
    <col min="15" max="15" width="10.140625" bestFit="1" customWidth="1"/>
    <col min="16" max="16" width="11.140625" bestFit="1" customWidth="1"/>
    <col min="17" max="17" width="10.28515625" bestFit="1" customWidth="1"/>
    <col min="18" max="18" width="9.28515625" bestFit="1" customWidth="1"/>
    <col min="19" max="19" width="10.28515625" customWidth="1"/>
  </cols>
  <sheetData>
    <row r="1" spans="1:14" x14ac:dyDescent="0.2">
      <c r="A1"/>
      <c r="D1" s="139"/>
      <c r="E1" s="140">
        <v>1999</v>
      </c>
      <c r="F1" s="141"/>
      <c r="G1" s="110"/>
      <c r="H1" s="110"/>
      <c r="J1" s="139"/>
      <c r="K1" s="140">
        <v>2000</v>
      </c>
      <c r="L1" s="141"/>
      <c r="N1" s="149"/>
    </row>
    <row r="2" spans="1:14" x14ac:dyDescent="0.2">
      <c r="A2"/>
      <c r="D2" s="143" t="s">
        <v>268</v>
      </c>
      <c r="E2" s="144" t="s">
        <v>269</v>
      </c>
      <c r="F2" s="145" t="s">
        <v>270</v>
      </c>
      <c r="G2" s="146"/>
      <c r="H2" s="146" t="s">
        <v>271</v>
      </c>
      <c r="J2" s="143" t="s">
        <v>268</v>
      </c>
      <c r="K2" s="144" t="s">
        <v>269</v>
      </c>
      <c r="L2" s="145" t="s">
        <v>270</v>
      </c>
      <c r="N2" s="149"/>
    </row>
    <row r="3" spans="1:14" x14ac:dyDescent="0.2">
      <c r="A3"/>
      <c r="D3" s="149"/>
      <c r="E3" s="149"/>
      <c r="F3" s="149"/>
      <c r="G3" s="149"/>
      <c r="H3" s="149"/>
    </row>
    <row r="4" spans="1:14" x14ac:dyDescent="0.2">
      <c r="A4" t="s">
        <v>149</v>
      </c>
      <c r="D4" s="168">
        <v>2382.46</v>
      </c>
      <c r="E4" s="168">
        <v>2037.5619999999999</v>
      </c>
      <c r="F4" s="168">
        <f>D4-E4</f>
        <v>344.89800000000014</v>
      </c>
      <c r="G4" s="150"/>
      <c r="H4" s="150">
        <f>E20-H6-H10-H12</f>
        <v>-239.46431235747258</v>
      </c>
      <c r="I4" s="151"/>
      <c r="J4" s="168">
        <v>2382.46</v>
      </c>
      <c r="K4" s="168">
        <f>E4-H4</f>
        <v>2277.0263123574723</v>
      </c>
      <c r="L4" s="168">
        <f>J4-K4</f>
        <v>105.43368764252773</v>
      </c>
      <c r="N4" s="169"/>
    </row>
    <row r="5" spans="1:14" x14ac:dyDescent="0.2">
      <c r="A5"/>
      <c r="D5" s="168"/>
      <c r="E5" s="168"/>
      <c r="F5" s="168"/>
      <c r="G5" s="150"/>
      <c r="H5" s="150"/>
      <c r="I5" s="151"/>
      <c r="J5" s="168"/>
      <c r="K5" s="168"/>
      <c r="L5" s="168"/>
      <c r="N5" s="169"/>
    </row>
    <row r="6" spans="1:14" x14ac:dyDescent="0.2">
      <c r="A6" t="s">
        <v>152</v>
      </c>
      <c r="D6" s="168">
        <v>15280.619000000001</v>
      </c>
      <c r="E6" s="168">
        <v>7289.75</v>
      </c>
      <c r="F6" s="168">
        <f>D6-E6</f>
        <v>7990.8690000000006</v>
      </c>
      <c r="G6" s="150"/>
      <c r="H6" s="168">
        <v>-1000</v>
      </c>
      <c r="I6" s="151"/>
      <c r="J6" s="168">
        <v>15280.619000000001</v>
      </c>
      <c r="K6" s="168">
        <f>E6-H6</f>
        <v>8289.75</v>
      </c>
      <c r="L6" s="168">
        <f>J6-K6</f>
        <v>6990.8690000000006</v>
      </c>
      <c r="N6" s="169"/>
    </row>
    <row r="7" spans="1:14" x14ac:dyDescent="0.2">
      <c r="A7"/>
      <c r="D7" s="162"/>
      <c r="E7" s="162"/>
      <c r="F7" s="168"/>
      <c r="G7" s="150"/>
      <c r="H7" s="150"/>
      <c r="I7" s="151"/>
      <c r="J7" s="168"/>
      <c r="K7" s="168"/>
      <c r="L7" s="168"/>
      <c r="N7" s="169"/>
    </row>
    <row r="8" spans="1:14" x14ac:dyDescent="0.2">
      <c r="A8" t="s">
        <v>272</v>
      </c>
      <c r="D8" s="168">
        <v>12559.386</v>
      </c>
      <c r="E8" s="168">
        <v>0</v>
      </c>
      <c r="F8" s="168">
        <f>D8-E8</f>
        <v>12559.386</v>
      </c>
      <c r="G8" s="150"/>
      <c r="H8" s="150">
        <v>8441</v>
      </c>
      <c r="I8" s="151"/>
      <c r="J8" s="168">
        <f>H8+D8</f>
        <v>21000.385999999999</v>
      </c>
      <c r="K8" s="168">
        <v>0</v>
      </c>
      <c r="L8" s="168">
        <f>J8-K8</f>
        <v>21000.385999999999</v>
      </c>
      <c r="N8" s="169"/>
    </row>
    <row r="9" spans="1:14" x14ac:dyDescent="0.2">
      <c r="A9"/>
      <c r="D9" s="168"/>
      <c r="E9" s="168"/>
      <c r="F9" s="168"/>
      <c r="G9" s="150"/>
      <c r="H9" s="150"/>
      <c r="I9" s="151"/>
      <c r="J9" s="168"/>
      <c r="K9" s="168"/>
      <c r="L9" s="168"/>
      <c r="N9" s="169"/>
    </row>
    <row r="10" spans="1:14" x14ac:dyDescent="0.2">
      <c r="A10" t="s">
        <v>273</v>
      </c>
      <c r="D10" s="168">
        <v>1534.14</v>
      </c>
      <c r="E10" s="168">
        <v>1010.12</v>
      </c>
      <c r="F10" s="168">
        <f>D10-E10</f>
        <v>524.0200000000001</v>
      </c>
      <c r="G10" s="150"/>
      <c r="H10" s="150">
        <f>D10*($E$20/($D$4+$D$10+$D$12))</f>
        <v>-287.18172097586086</v>
      </c>
      <c r="I10" s="151"/>
      <c r="J10" s="168">
        <v>1534.14</v>
      </c>
      <c r="K10" s="168">
        <f>E10-H10</f>
        <v>1297.3017209758609</v>
      </c>
      <c r="L10" s="168">
        <f>J10-K10</f>
        <v>236.83827902413918</v>
      </c>
      <c r="N10" s="169"/>
    </row>
    <row r="11" spans="1:14" x14ac:dyDescent="0.2">
      <c r="A11"/>
      <c r="D11" s="168"/>
      <c r="E11" s="168"/>
      <c r="F11" s="168"/>
      <c r="G11" s="150"/>
      <c r="H11" s="150"/>
      <c r="I11" s="151"/>
      <c r="J11" s="168"/>
      <c r="K11" s="168"/>
      <c r="L11" s="168"/>
      <c r="N11" s="169"/>
    </row>
    <row r="12" spans="1:14" x14ac:dyDescent="0.2">
      <c r="A12" t="s">
        <v>274</v>
      </c>
      <c r="D12" s="168">
        <v>4826.45</v>
      </c>
      <c r="E12" s="168">
        <v>4256.6229999999996</v>
      </c>
      <c r="F12" s="168">
        <f>D12-E12</f>
        <v>569.82700000000023</v>
      </c>
      <c r="G12" s="150"/>
      <c r="H12" s="150">
        <v>-110</v>
      </c>
      <c r="I12" s="151"/>
      <c r="J12" s="168">
        <v>4826.45</v>
      </c>
      <c r="K12" s="168">
        <f>E12-H12</f>
        <v>4366.6229999999996</v>
      </c>
      <c r="L12" s="168">
        <f>J12-K12</f>
        <v>459.82700000000023</v>
      </c>
      <c r="N12" s="169"/>
    </row>
    <row r="13" spans="1:14" x14ac:dyDescent="0.2">
      <c r="A13"/>
      <c r="D13" s="168"/>
      <c r="E13" s="168"/>
      <c r="F13" s="168"/>
      <c r="G13" s="150"/>
      <c r="H13" s="150"/>
      <c r="I13" s="151"/>
      <c r="J13" s="168"/>
      <c r="K13" s="168"/>
      <c r="L13" s="168"/>
      <c r="N13" s="169"/>
    </row>
    <row r="14" spans="1:14" x14ac:dyDescent="0.2">
      <c r="A14" t="s">
        <v>275</v>
      </c>
      <c r="D14" s="168">
        <f>SUM(D4:D12)</f>
        <v>36583.055</v>
      </c>
      <c r="E14" s="168">
        <f>SUM(E4:E12)</f>
        <v>14594.055</v>
      </c>
      <c r="F14" s="168">
        <f>SUM(F4:F12)</f>
        <v>21989</v>
      </c>
      <c r="G14" s="150"/>
      <c r="I14" s="151"/>
      <c r="J14" s="168">
        <f>SUM(J4:J12)</f>
        <v>45024.054999999993</v>
      </c>
      <c r="K14" s="168">
        <f>SUM(K4:K12)</f>
        <v>16230.701033333335</v>
      </c>
      <c r="L14" s="168">
        <f>SUM(L4:L12)</f>
        <v>28793.353966666666</v>
      </c>
      <c r="N14" s="169"/>
    </row>
    <row r="15" spans="1:14" x14ac:dyDescent="0.2">
      <c r="A15"/>
      <c r="D15" s="151"/>
      <c r="E15" s="151"/>
      <c r="F15" s="151"/>
      <c r="G15" s="151"/>
      <c r="I15" s="151"/>
      <c r="J15" s="151"/>
      <c r="K15" s="151"/>
      <c r="L15" s="151"/>
    </row>
    <row r="16" spans="1:14" x14ac:dyDescent="0.2">
      <c r="A16" t="s">
        <v>276</v>
      </c>
      <c r="E16" s="150">
        <v>-2146</v>
      </c>
      <c r="F16" s="151"/>
      <c r="G16" s="151"/>
      <c r="H16" s="151"/>
      <c r="I16" s="151"/>
      <c r="J16" s="151"/>
      <c r="K16" s="151"/>
      <c r="L16" s="151"/>
    </row>
    <row r="17" spans="1:29" x14ac:dyDescent="0.2">
      <c r="A17" t="s">
        <v>278</v>
      </c>
      <c r="E17" s="153" t="s">
        <v>279</v>
      </c>
      <c r="F17" s="151"/>
      <c r="G17" s="151"/>
      <c r="H17" s="151"/>
      <c r="I17" s="151"/>
      <c r="J17" s="151"/>
      <c r="K17" s="151"/>
      <c r="L17" s="151"/>
    </row>
    <row r="18" spans="1:29" x14ac:dyDescent="0.2">
      <c r="A18" t="s">
        <v>280</v>
      </c>
      <c r="E18" s="150">
        <f>D6/30</f>
        <v>509.35396666666668</v>
      </c>
      <c r="F18" s="151"/>
      <c r="G18" s="151"/>
      <c r="H18" s="151"/>
      <c r="I18" s="151"/>
      <c r="J18" s="151"/>
      <c r="K18" s="151"/>
      <c r="L18" s="151"/>
      <c r="AC18" s="155" t="str">
        <f>IF(SUM(F74:P74)=100%," ",SUM(F74:P74))</f>
        <v xml:space="preserve"> </v>
      </c>
    </row>
    <row r="19" spans="1:29" x14ac:dyDescent="0.2">
      <c r="A19" t="s">
        <v>281</v>
      </c>
      <c r="E19" s="150">
        <f>E18*15</f>
        <v>7640.3095000000003</v>
      </c>
      <c r="F19" s="151"/>
      <c r="G19" s="151"/>
      <c r="H19" s="151"/>
      <c r="I19" s="151"/>
      <c r="J19" s="151"/>
      <c r="K19" s="151"/>
      <c r="L19" s="151"/>
    </row>
    <row r="20" spans="1:29" x14ac:dyDescent="0.2">
      <c r="A20" t="s">
        <v>282</v>
      </c>
      <c r="E20" s="137">
        <f>E16+E18</f>
        <v>-1636.6460333333334</v>
      </c>
      <c r="F20" s="151"/>
      <c r="G20" s="151"/>
      <c r="H20" s="151"/>
      <c r="I20" s="151"/>
      <c r="J20" s="151"/>
      <c r="K20" s="151"/>
      <c r="L20" s="151"/>
    </row>
    <row r="21" spans="1:29" x14ac:dyDescent="0.2">
      <c r="A21" t="s">
        <v>283</v>
      </c>
      <c r="E21" s="151">
        <f>(D4+D10+D12)/(2100-510)</f>
        <v>5.4987735849056598</v>
      </c>
      <c r="F21" s="151"/>
      <c r="G21" s="151"/>
      <c r="H21" s="151"/>
      <c r="I21" s="151"/>
      <c r="J21" s="151"/>
      <c r="K21" s="151"/>
      <c r="L21" s="151"/>
    </row>
    <row r="22" spans="1:29" x14ac:dyDescent="0.2">
      <c r="A22"/>
      <c r="E22" s="151"/>
      <c r="F22" s="151"/>
      <c r="G22" s="151"/>
      <c r="H22" s="151"/>
      <c r="I22" s="151"/>
      <c r="J22" s="151"/>
      <c r="K22" s="151"/>
      <c r="L22" s="151"/>
    </row>
    <row r="23" spans="1:29" ht="27" thickBot="1" x14ac:dyDescent="0.45">
      <c r="A23" s="352" t="s">
        <v>518</v>
      </c>
      <c r="B23" s="345"/>
      <c r="C23" s="345"/>
      <c r="D23" s="346"/>
      <c r="E23" s="346"/>
      <c r="F23" s="346"/>
      <c r="G23" s="346"/>
      <c r="H23" s="346"/>
      <c r="I23" s="346"/>
      <c r="J23" s="346"/>
      <c r="K23" s="346"/>
      <c r="L23" s="346"/>
      <c r="M23" s="346"/>
      <c r="N23" s="346"/>
      <c r="O23" s="346"/>
      <c r="P23" s="346"/>
      <c r="Q23" s="346"/>
      <c r="R23" s="346"/>
      <c r="S23" s="346"/>
      <c r="T23" s="772" t="s">
        <v>910</v>
      </c>
    </row>
    <row r="24" spans="1:29" ht="25.5" x14ac:dyDescent="0.35">
      <c r="A24" s="381"/>
      <c r="B24" s="382"/>
      <c r="C24" s="382"/>
      <c r="D24" s="25"/>
      <c r="E24" s="25"/>
      <c r="F24" s="25"/>
      <c r="G24" s="25"/>
      <c r="H24" s="385"/>
      <c r="I24" s="385"/>
      <c r="J24" s="1"/>
      <c r="K24" s="589"/>
      <c r="L24" s="1"/>
      <c r="M24" s="1"/>
      <c r="T24" s="773" t="s">
        <v>659</v>
      </c>
    </row>
    <row r="25" spans="1:29" x14ac:dyDescent="0.2">
      <c r="A25"/>
      <c r="E25" s="151"/>
      <c r="F25" s="151"/>
      <c r="G25" s="151"/>
      <c r="H25" s="151"/>
      <c r="I25" s="151"/>
      <c r="J25" s="151"/>
      <c r="K25" s="151"/>
      <c r="L25" s="151"/>
    </row>
    <row r="26" spans="1:29" x14ac:dyDescent="0.2">
      <c r="A26" s="110"/>
      <c r="B26" s="110"/>
      <c r="F26" s="139"/>
      <c r="G26" s="142"/>
      <c r="H26" s="142"/>
      <c r="I26" s="142"/>
      <c r="J26" s="142"/>
      <c r="K26" s="142" t="s">
        <v>267</v>
      </c>
      <c r="L26" s="142"/>
      <c r="M26" s="142"/>
      <c r="N26" s="142"/>
      <c r="O26" s="142"/>
      <c r="P26" s="142"/>
      <c r="Q26" s="142"/>
      <c r="R26" s="142"/>
      <c r="S26" s="142"/>
      <c r="T26" s="141"/>
    </row>
    <row r="27" spans="1:29" x14ac:dyDescent="0.2">
      <c r="A27" s="146"/>
      <c r="B27" s="146"/>
      <c r="F27" s="147">
        <v>2001</v>
      </c>
      <c r="G27" s="134">
        <f t="shared" ref="G27:O27" si="0">F27+1</f>
        <v>2002</v>
      </c>
      <c r="H27" s="134">
        <f t="shared" si="0"/>
        <v>2003</v>
      </c>
      <c r="I27" s="134">
        <f t="shared" si="0"/>
        <v>2004</v>
      </c>
      <c r="J27" s="134">
        <f t="shared" si="0"/>
        <v>2005</v>
      </c>
      <c r="K27" s="134">
        <f t="shared" si="0"/>
        <v>2006</v>
      </c>
      <c r="L27" s="134">
        <f t="shared" si="0"/>
        <v>2007</v>
      </c>
      <c r="M27" s="134">
        <f t="shared" si="0"/>
        <v>2008</v>
      </c>
      <c r="N27" s="134">
        <f t="shared" si="0"/>
        <v>2009</v>
      </c>
      <c r="O27" s="134">
        <f t="shared" si="0"/>
        <v>2010</v>
      </c>
      <c r="P27" s="134">
        <v>2011</v>
      </c>
      <c r="Q27" s="134">
        <v>2012</v>
      </c>
      <c r="R27" s="134">
        <v>2013</v>
      </c>
      <c r="S27" s="134">
        <v>2014</v>
      </c>
      <c r="T27" s="148">
        <v>2015</v>
      </c>
    </row>
    <row r="28" spans="1:29" ht="25.5" x14ac:dyDescent="0.2">
      <c r="A28"/>
      <c r="E28" s="205" t="s">
        <v>361</v>
      </c>
    </row>
    <row r="29" spans="1:29" x14ac:dyDescent="0.2">
      <c r="A29" s="150"/>
      <c r="B29" t="s">
        <v>149</v>
      </c>
      <c r="C29" s="151"/>
      <c r="D29" s="152" t="s">
        <v>385</v>
      </c>
      <c r="E29" s="169">
        <f>L4</f>
        <v>105.43368764252773</v>
      </c>
      <c r="F29" s="169">
        <f t="shared" ref="F29:T29" si="1">$E29/$E30</f>
        <v>3.5144562547509244</v>
      </c>
      <c r="G29" s="169">
        <f t="shared" si="1"/>
        <v>3.5144562547509244</v>
      </c>
      <c r="H29" s="169">
        <f t="shared" si="1"/>
        <v>3.5144562547509244</v>
      </c>
      <c r="I29" s="169">
        <f t="shared" si="1"/>
        <v>3.5144562547509244</v>
      </c>
      <c r="J29" s="169">
        <f t="shared" si="1"/>
        <v>3.5144562547509244</v>
      </c>
      <c r="K29" s="169">
        <f t="shared" si="1"/>
        <v>3.5144562547509244</v>
      </c>
      <c r="L29" s="169">
        <f t="shared" si="1"/>
        <v>3.5144562547509244</v>
      </c>
      <c r="M29" s="169">
        <f t="shared" si="1"/>
        <v>3.5144562547509244</v>
      </c>
      <c r="N29" s="169">
        <f t="shared" si="1"/>
        <v>3.5144562547509244</v>
      </c>
      <c r="O29" s="169">
        <f t="shared" si="1"/>
        <v>3.5144562547509244</v>
      </c>
      <c r="P29" s="169">
        <f t="shared" si="1"/>
        <v>3.5144562547509244</v>
      </c>
      <c r="Q29" s="169">
        <f t="shared" si="1"/>
        <v>3.5144562547509244</v>
      </c>
      <c r="R29" s="169">
        <f t="shared" si="1"/>
        <v>3.5144562547509244</v>
      </c>
      <c r="S29" s="169">
        <f t="shared" si="1"/>
        <v>3.5144562547509244</v>
      </c>
      <c r="T29" s="169">
        <f t="shared" si="1"/>
        <v>3.5144562547509244</v>
      </c>
    </row>
    <row r="30" spans="1:29" x14ac:dyDescent="0.2">
      <c r="A30" s="150"/>
      <c r="C30" s="151"/>
      <c r="D30" s="513" t="s">
        <v>607</v>
      </c>
      <c r="E30" s="162">
        <f>Assumptions!$B$49</f>
        <v>30</v>
      </c>
      <c r="F30" s="169"/>
      <c r="G30" s="169"/>
      <c r="H30" s="169"/>
      <c r="I30" s="169"/>
      <c r="J30" s="169"/>
      <c r="K30" s="169"/>
      <c r="L30" s="169"/>
      <c r="M30" s="169"/>
      <c r="N30" s="169"/>
      <c r="O30" s="169"/>
      <c r="P30" s="169"/>
      <c r="Q30" s="169"/>
      <c r="R30" s="169"/>
      <c r="S30" s="169"/>
      <c r="T30" s="169"/>
    </row>
    <row r="31" spans="1:29" x14ac:dyDescent="0.2">
      <c r="A31" s="150"/>
      <c r="B31" t="s">
        <v>809</v>
      </c>
      <c r="C31" s="151"/>
      <c r="D31" s="152" t="s">
        <v>385</v>
      </c>
      <c r="E31" s="169">
        <f>L6</f>
        <v>6990.8690000000006</v>
      </c>
      <c r="F31" s="169">
        <f t="shared" ref="F31:T31" si="2">$E31/$E32</f>
        <v>233.02896666666669</v>
      </c>
      <c r="G31" s="169">
        <f t="shared" si="2"/>
        <v>233.02896666666669</v>
      </c>
      <c r="H31" s="169">
        <f t="shared" si="2"/>
        <v>233.02896666666669</v>
      </c>
      <c r="I31" s="169">
        <f t="shared" si="2"/>
        <v>233.02896666666669</v>
      </c>
      <c r="J31" s="169">
        <f t="shared" si="2"/>
        <v>233.02896666666669</v>
      </c>
      <c r="K31" s="169">
        <f t="shared" si="2"/>
        <v>233.02896666666669</v>
      </c>
      <c r="L31" s="169">
        <f t="shared" si="2"/>
        <v>233.02896666666669</v>
      </c>
      <c r="M31" s="169">
        <f t="shared" si="2"/>
        <v>233.02896666666669</v>
      </c>
      <c r="N31" s="169">
        <f t="shared" si="2"/>
        <v>233.02896666666669</v>
      </c>
      <c r="O31" s="169">
        <f t="shared" si="2"/>
        <v>233.02896666666669</v>
      </c>
      <c r="P31" s="169">
        <f t="shared" si="2"/>
        <v>233.02896666666669</v>
      </c>
      <c r="Q31" s="169">
        <f t="shared" si="2"/>
        <v>233.02896666666669</v>
      </c>
      <c r="R31" s="169">
        <f t="shared" si="2"/>
        <v>233.02896666666669</v>
      </c>
      <c r="S31" s="169">
        <f t="shared" si="2"/>
        <v>233.02896666666669</v>
      </c>
      <c r="T31" s="169">
        <f t="shared" si="2"/>
        <v>233.02896666666669</v>
      </c>
    </row>
    <row r="32" spans="1:29" x14ac:dyDescent="0.2">
      <c r="A32" s="150"/>
      <c r="C32" s="151"/>
      <c r="D32" s="513" t="s">
        <v>607</v>
      </c>
      <c r="E32" s="162">
        <f>IF($D$54=1,Assumptions!$B$49,15)</f>
        <v>30</v>
      </c>
      <c r="F32" s="169"/>
      <c r="G32" s="169"/>
      <c r="H32" s="169"/>
      <c r="I32" s="169"/>
      <c r="J32" s="169"/>
      <c r="K32" s="169"/>
      <c r="L32" s="169"/>
      <c r="M32" s="169"/>
      <c r="N32" s="169"/>
      <c r="O32" s="169"/>
      <c r="P32" s="169"/>
      <c r="Q32" s="169"/>
      <c r="R32" s="169"/>
      <c r="S32" s="169"/>
      <c r="T32" s="169"/>
    </row>
    <row r="33" spans="1:20" x14ac:dyDescent="0.2">
      <c r="A33" s="150"/>
      <c r="B33" t="s">
        <v>272</v>
      </c>
      <c r="C33" s="151"/>
      <c r="D33" s="152" t="s">
        <v>385</v>
      </c>
      <c r="E33" s="169">
        <f>L8</f>
        <v>21000.385999999999</v>
      </c>
      <c r="F33" s="169">
        <f t="shared" ref="F33:T33" si="3">$E33/$E34</f>
        <v>700.01286666666658</v>
      </c>
      <c r="G33" s="169">
        <f t="shared" si="3"/>
        <v>700.01286666666658</v>
      </c>
      <c r="H33" s="169">
        <f t="shared" si="3"/>
        <v>700.01286666666658</v>
      </c>
      <c r="I33" s="169">
        <f t="shared" si="3"/>
        <v>700.01286666666658</v>
      </c>
      <c r="J33" s="169">
        <f t="shared" si="3"/>
        <v>700.01286666666658</v>
      </c>
      <c r="K33" s="169">
        <f t="shared" si="3"/>
        <v>700.01286666666658</v>
      </c>
      <c r="L33" s="169">
        <f t="shared" si="3"/>
        <v>700.01286666666658</v>
      </c>
      <c r="M33" s="169">
        <f t="shared" si="3"/>
        <v>700.01286666666658</v>
      </c>
      <c r="N33" s="169">
        <f t="shared" si="3"/>
        <v>700.01286666666658</v>
      </c>
      <c r="O33" s="169">
        <f t="shared" si="3"/>
        <v>700.01286666666658</v>
      </c>
      <c r="P33" s="169">
        <f t="shared" si="3"/>
        <v>700.01286666666658</v>
      </c>
      <c r="Q33" s="169">
        <f t="shared" si="3"/>
        <v>700.01286666666658</v>
      </c>
      <c r="R33" s="169">
        <f t="shared" si="3"/>
        <v>700.01286666666658</v>
      </c>
      <c r="S33" s="169">
        <f t="shared" si="3"/>
        <v>700.01286666666658</v>
      </c>
      <c r="T33" s="169">
        <f t="shared" si="3"/>
        <v>700.01286666666658</v>
      </c>
    </row>
    <row r="34" spans="1:20" x14ac:dyDescent="0.2">
      <c r="A34" s="150"/>
      <c r="C34" s="151"/>
      <c r="D34" s="513" t="s">
        <v>607</v>
      </c>
      <c r="E34" s="162">
        <f>IF($D$54=1,Assumptions!$B$49,15)</f>
        <v>30</v>
      </c>
      <c r="F34" s="169"/>
      <c r="G34" s="169"/>
      <c r="H34" s="169"/>
      <c r="I34" s="169"/>
      <c r="J34" s="169"/>
      <c r="K34" s="169"/>
      <c r="L34" s="169"/>
      <c r="M34" s="169"/>
      <c r="N34" s="169"/>
      <c r="O34" s="169"/>
      <c r="P34" s="169"/>
      <c r="Q34" s="169"/>
      <c r="R34" s="169"/>
      <c r="S34" s="169"/>
      <c r="T34" s="169"/>
    </row>
    <row r="35" spans="1:20" x14ac:dyDescent="0.2">
      <c r="A35" s="150"/>
      <c r="B35" t="s">
        <v>273</v>
      </c>
      <c r="C35" s="151"/>
      <c r="D35" s="152" t="s">
        <v>385</v>
      </c>
      <c r="E35" s="169">
        <f>L10</f>
        <v>236.83827902413918</v>
      </c>
      <c r="F35" s="169">
        <f t="shared" ref="F35:T35" si="4">$E35/$E36</f>
        <v>7.8946093008046399</v>
      </c>
      <c r="G35" s="169">
        <f t="shared" si="4"/>
        <v>7.8946093008046399</v>
      </c>
      <c r="H35" s="169">
        <f t="shared" si="4"/>
        <v>7.8946093008046399</v>
      </c>
      <c r="I35" s="169">
        <f t="shared" si="4"/>
        <v>7.8946093008046399</v>
      </c>
      <c r="J35" s="169">
        <f t="shared" si="4"/>
        <v>7.8946093008046399</v>
      </c>
      <c r="K35" s="169">
        <f t="shared" si="4"/>
        <v>7.8946093008046399</v>
      </c>
      <c r="L35" s="169">
        <f t="shared" si="4"/>
        <v>7.8946093008046399</v>
      </c>
      <c r="M35" s="169">
        <f t="shared" si="4"/>
        <v>7.8946093008046399</v>
      </c>
      <c r="N35" s="169">
        <f t="shared" si="4"/>
        <v>7.8946093008046399</v>
      </c>
      <c r="O35" s="169">
        <f t="shared" si="4"/>
        <v>7.8946093008046399</v>
      </c>
      <c r="P35" s="169">
        <f t="shared" si="4"/>
        <v>7.8946093008046399</v>
      </c>
      <c r="Q35" s="169">
        <f t="shared" si="4"/>
        <v>7.8946093008046399</v>
      </c>
      <c r="R35" s="169">
        <f t="shared" si="4"/>
        <v>7.8946093008046399</v>
      </c>
      <c r="S35" s="169">
        <f t="shared" si="4"/>
        <v>7.8946093008046399</v>
      </c>
      <c r="T35" s="169">
        <f t="shared" si="4"/>
        <v>7.8946093008046399</v>
      </c>
    </row>
    <row r="36" spans="1:20" x14ac:dyDescent="0.2">
      <c r="A36" s="150"/>
      <c r="C36" s="151"/>
      <c r="D36" s="513" t="s">
        <v>607</v>
      </c>
      <c r="E36" s="162">
        <f>IF($D$54=1,Assumptions!$B$49,15)</f>
        <v>30</v>
      </c>
      <c r="F36" s="169"/>
      <c r="G36" s="169"/>
      <c r="H36" s="169"/>
      <c r="I36" s="169"/>
      <c r="J36" s="169"/>
      <c r="K36" s="169"/>
      <c r="L36" s="169"/>
      <c r="M36" s="169"/>
      <c r="N36" s="169"/>
      <c r="O36" s="169"/>
      <c r="P36" s="169"/>
      <c r="Q36" s="169"/>
      <c r="R36" s="169"/>
      <c r="S36" s="169"/>
      <c r="T36" s="169"/>
    </row>
    <row r="37" spans="1:20" x14ac:dyDescent="0.2">
      <c r="A37" s="150"/>
      <c r="B37" t="s">
        <v>274</v>
      </c>
      <c r="C37" s="151"/>
      <c r="D37" s="152" t="s">
        <v>385</v>
      </c>
      <c r="E37" s="169">
        <f>L12</f>
        <v>459.82700000000023</v>
      </c>
      <c r="F37" s="169">
        <f>$E37/$E38</f>
        <v>15.327566666666675</v>
      </c>
      <c r="G37" s="169">
        <f>$E37/$E38</f>
        <v>15.327566666666675</v>
      </c>
      <c r="H37" s="169">
        <f>IF($D$54=1,$G$37,0)</f>
        <v>15.327566666666675</v>
      </c>
      <c r="I37" s="169">
        <f t="shared" ref="I37:T37" si="5">IF($D$54=1,$G$37,0)</f>
        <v>15.327566666666675</v>
      </c>
      <c r="J37" s="169">
        <f t="shared" si="5"/>
        <v>15.327566666666675</v>
      </c>
      <c r="K37" s="169">
        <f t="shared" si="5"/>
        <v>15.327566666666675</v>
      </c>
      <c r="L37" s="169">
        <f t="shared" si="5"/>
        <v>15.327566666666675</v>
      </c>
      <c r="M37" s="169">
        <f t="shared" si="5"/>
        <v>15.327566666666675</v>
      </c>
      <c r="N37" s="169">
        <f t="shared" si="5"/>
        <v>15.327566666666675</v>
      </c>
      <c r="O37" s="169">
        <f t="shared" si="5"/>
        <v>15.327566666666675</v>
      </c>
      <c r="P37" s="169">
        <f t="shared" si="5"/>
        <v>15.327566666666675</v>
      </c>
      <c r="Q37" s="169">
        <f t="shared" si="5"/>
        <v>15.327566666666675</v>
      </c>
      <c r="R37" s="169">
        <f t="shared" si="5"/>
        <v>15.327566666666675</v>
      </c>
      <c r="S37" s="169">
        <f t="shared" si="5"/>
        <v>15.327566666666675</v>
      </c>
      <c r="T37" s="169">
        <f t="shared" si="5"/>
        <v>15.327566666666675</v>
      </c>
    </row>
    <row r="38" spans="1:20" x14ac:dyDescent="0.2">
      <c r="A38" s="150"/>
      <c r="C38" s="151"/>
      <c r="D38" s="513" t="s">
        <v>607</v>
      </c>
      <c r="E38" s="162">
        <f>IF($D$54=1,Assumptions!$B$49,2)</f>
        <v>30</v>
      </c>
      <c r="F38" s="169"/>
      <c r="G38" s="169"/>
      <c r="H38" s="169"/>
      <c r="I38" s="169"/>
      <c r="J38" s="169"/>
      <c r="K38" s="169"/>
      <c r="L38" s="169"/>
      <c r="M38" s="169"/>
      <c r="N38" s="169"/>
      <c r="O38" s="169"/>
      <c r="P38" s="169"/>
      <c r="Q38" s="169"/>
      <c r="R38" s="169"/>
      <c r="S38" s="169"/>
      <c r="T38" s="169"/>
    </row>
    <row r="39" spans="1:20" x14ac:dyDescent="0.2">
      <c r="A39" s="150"/>
      <c r="B39" t="s">
        <v>97</v>
      </c>
      <c r="C39" s="151"/>
      <c r="D39" s="152"/>
      <c r="E39" s="162">
        <f>Assumptions!$B$49</f>
        <v>30</v>
      </c>
      <c r="F39" s="169">
        <f>SUM(F40:F51)</f>
        <v>8.3333333333333339</v>
      </c>
      <c r="G39" s="169">
        <f>SUM(G40:G51)</f>
        <v>25</v>
      </c>
      <c r="H39" s="169">
        <f t="shared" ref="H39:T39" si="6">SUM(H40:H51)</f>
        <v>41.666666666666671</v>
      </c>
      <c r="I39" s="169">
        <f t="shared" si="6"/>
        <v>58.333333333333343</v>
      </c>
      <c r="J39" s="169">
        <f t="shared" si="6"/>
        <v>75.000000000000014</v>
      </c>
      <c r="K39" s="169">
        <f t="shared" si="6"/>
        <v>91.666666666666686</v>
      </c>
      <c r="L39" s="169">
        <f t="shared" si="6"/>
        <v>108.33333333333336</v>
      </c>
      <c r="M39" s="169">
        <f t="shared" si="6"/>
        <v>125.00000000000003</v>
      </c>
      <c r="N39" s="169">
        <f t="shared" si="6"/>
        <v>141.66666666666669</v>
      </c>
      <c r="O39" s="169">
        <f t="shared" si="6"/>
        <v>158.33333333333334</v>
      </c>
      <c r="P39" s="169">
        <f t="shared" si="6"/>
        <v>175</v>
      </c>
      <c r="Q39" s="169">
        <f t="shared" si="6"/>
        <v>175</v>
      </c>
      <c r="R39" s="169">
        <f t="shared" si="6"/>
        <v>175</v>
      </c>
      <c r="S39" s="169">
        <f t="shared" si="6"/>
        <v>175</v>
      </c>
      <c r="T39" s="169">
        <f t="shared" si="6"/>
        <v>175</v>
      </c>
    </row>
    <row r="40" spans="1:20" hidden="1" outlineLevel="1" x14ac:dyDescent="0.2">
      <c r="A40" s="150"/>
      <c r="C40" s="151"/>
      <c r="D40" s="152"/>
      <c r="E40" s="110">
        <v>2001</v>
      </c>
      <c r="F40" s="169">
        <f>-'Cash Flow '!$H25/$E$39</f>
        <v>8.3333333333333339</v>
      </c>
      <c r="G40" s="169">
        <f>-'Cash Flow '!$H25/$E$39</f>
        <v>8.3333333333333339</v>
      </c>
      <c r="H40" s="169">
        <f>-'Cash Flow '!$H25/$E$39</f>
        <v>8.3333333333333339</v>
      </c>
      <c r="I40" s="169">
        <f>-'Cash Flow '!$H25/$E$39</f>
        <v>8.3333333333333339</v>
      </c>
      <c r="J40" s="169">
        <f>-'Cash Flow '!$H25/$E$39</f>
        <v>8.3333333333333339</v>
      </c>
      <c r="K40" s="169">
        <f>-'Cash Flow '!$H25/$E$39</f>
        <v>8.3333333333333339</v>
      </c>
      <c r="L40" s="169">
        <f>-'Cash Flow '!$H25/$E$39</f>
        <v>8.3333333333333339</v>
      </c>
      <c r="M40" s="169">
        <f>-'Cash Flow '!$H25/$E$39</f>
        <v>8.3333333333333339</v>
      </c>
      <c r="N40" s="169">
        <f>-'Cash Flow '!$H25/$E$39</f>
        <v>8.3333333333333339</v>
      </c>
      <c r="O40" s="169">
        <f>-'Cash Flow '!$H25/$E$39</f>
        <v>8.3333333333333339</v>
      </c>
      <c r="P40" s="169">
        <f>-'Cash Flow '!$H25/$E$39</f>
        <v>8.3333333333333339</v>
      </c>
      <c r="Q40" s="169">
        <f>-'Cash Flow '!$H25/$E$39</f>
        <v>8.3333333333333339</v>
      </c>
      <c r="R40" s="169">
        <f>-'Cash Flow '!$H25/$E$39</f>
        <v>8.3333333333333339</v>
      </c>
      <c r="S40" s="169">
        <f>-'Cash Flow '!$H25/$E$39</f>
        <v>8.3333333333333339</v>
      </c>
      <c r="T40" s="169">
        <f>-'Cash Flow '!$H25/$E$39</f>
        <v>8.3333333333333339</v>
      </c>
    </row>
    <row r="41" spans="1:20" hidden="1" outlineLevel="1" x14ac:dyDescent="0.2">
      <c r="A41" s="150"/>
      <c r="C41" s="151"/>
      <c r="D41" s="152"/>
      <c r="E41" s="110">
        <f>E40+1</f>
        <v>2002</v>
      </c>
      <c r="F41" s="169"/>
      <c r="G41" s="169">
        <f>-'Cash Flow '!$J25/$E$39</f>
        <v>16.666666666666668</v>
      </c>
      <c r="H41" s="169">
        <f>-'Cash Flow '!$J25/$E$39</f>
        <v>16.666666666666668</v>
      </c>
      <c r="I41" s="169">
        <f>-'Cash Flow '!$J25/$E$39</f>
        <v>16.666666666666668</v>
      </c>
      <c r="J41" s="169">
        <f>-'Cash Flow '!$J25/$E$39</f>
        <v>16.666666666666668</v>
      </c>
      <c r="K41" s="169">
        <f>-'Cash Flow '!$J25/$E$39</f>
        <v>16.666666666666668</v>
      </c>
      <c r="L41" s="169">
        <f>-'Cash Flow '!$J25/$E$39</f>
        <v>16.666666666666668</v>
      </c>
      <c r="M41" s="169">
        <f>-'Cash Flow '!$J25/$E$39</f>
        <v>16.666666666666668</v>
      </c>
      <c r="N41" s="169">
        <f>-'Cash Flow '!$J25/$E$39</f>
        <v>16.666666666666668</v>
      </c>
      <c r="O41" s="169">
        <f>-'Cash Flow '!$J25/$E$39</f>
        <v>16.666666666666668</v>
      </c>
      <c r="P41" s="169">
        <f>-'Cash Flow '!$J25/$E$39</f>
        <v>16.666666666666668</v>
      </c>
      <c r="Q41" s="169">
        <f>-'Cash Flow '!$J25/$E$39</f>
        <v>16.666666666666668</v>
      </c>
      <c r="R41" s="169">
        <f>-'Cash Flow '!$J25/$E$39</f>
        <v>16.666666666666668</v>
      </c>
      <c r="S41" s="169">
        <f>-'Cash Flow '!$J25/$E$39</f>
        <v>16.666666666666668</v>
      </c>
      <c r="T41" s="169">
        <f>-'Cash Flow '!$J25/$E$39</f>
        <v>16.666666666666668</v>
      </c>
    </row>
    <row r="42" spans="1:20" hidden="1" outlineLevel="1" x14ac:dyDescent="0.2">
      <c r="A42" s="150"/>
      <c r="C42" s="151"/>
      <c r="D42" s="152"/>
      <c r="E42" s="110">
        <f>E41+1</f>
        <v>2003</v>
      </c>
      <c r="F42" s="169"/>
      <c r="G42" s="169"/>
      <c r="H42" s="169">
        <f>-'Cash Flow '!$K25/$E$39</f>
        <v>16.666666666666668</v>
      </c>
      <c r="I42" s="169">
        <f>-'Cash Flow '!$K25/$E$39</f>
        <v>16.666666666666668</v>
      </c>
      <c r="J42" s="169">
        <f>-'Cash Flow '!$K25/$E$39</f>
        <v>16.666666666666668</v>
      </c>
      <c r="K42" s="169">
        <f>-'Cash Flow '!$K25/$E$39</f>
        <v>16.666666666666668</v>
      </c>
      <c r="L42" s="169">
        <f>-'Cash Flow '!$K25/$E$39</f>
        <v>16.666666666666668</v>
      </c>
      <c r="M42" s="169">
        <f>-'Cash Flow '!$K25/$E$39</f>
        <v>16.666666666666668</v>
      </c>
      <c r="N42" s="169">
        <f>-'Cash Flow '!$K25/$E$39</f>
        <v>16.666666666666668</v>
      </c>
      <c r="O42" s="169">
        <f>-'Cash Flow '!$K25/$E$39</f>
        <v>16.666666666666668</v>
      </c>
      <c r="P42" s="169">
        <f>-'Cash Flow '!$K25/$E$39</f>
        <v>16.666666666666668</v>
      </c>
      <c r="Q42" s="169">
        <f>-'Cash Flow '!$K25/$E$39</f>
        <v>16.666666666666668</v>
      </c>
      <c r="R42" s="169">
        <f>-'Cash Flow '!$K25/$E$39</f>
        <v>16.666666666666668</v>
      </c>
      <c r="S42" s="169">
        <f>-'Cash Flow '!$K25/$E$39</f>
        <v>16.666666666666668</v>
      </c>
      <c r="T42" s="169">
        <f>-'Cash Flow '!$K25/$E$39</f>
        <v>16.666666666666668</v>
      </c>
    </row>
    <row r="43" spans="1:20" hidden="1" outlineLevel="1" x14ac:dyDescent="0.2">
      <c r="A43" s="150"/>
      <c r="C43" s="151"/>
      <c r="D43" s="152"/>
      <c r="E43" s="110">
        <f>E42+1</f>
        <v>2004</v>
      </c>
      <c r="F43" s="169"/>
      <c r="G43" s="169"/>
      <c r="H43" s="169"/>
      <c r="I43" s="169">
        <f>-'Cash Flow '!$L25/$E$39</f>
        <v>16.666666666666668</v>
      </c>
      <c r="J43" s="169">
        <f>-'Cash Flow '!$L25/$E$39</f>
        <v>16.666666666666668</v>
      </c>
      <c r="K43" s="169">
        <f>-'Cash Flow '!$L25/$E$39</f>
        <v>16.666666666666668</v>
      </c>
      <c r="L43" s="169">
        <f>-'Cash Flow '!$L25/$E$39</f>
        <v>16.666666666666668</v>
      </c>
      <c r="M43" s="169">
        <f>-'Cash Flow '!$L25/$E$39</f>
        <v>16.666666666666668</v>
      </c>
      <c r="N43" s="169">
        <f>-'Cash Flow '!$L25/$E$39</f>
        <v>16.666666666666668</v>
      </c>
      <c r="O43" s="169">
        <f>-'Cash Flow '!$L25/$E$39</f>
        <v>16.666666666666668</v>
      </c>
      <c r="P43" s="169">
        <f>-'Cash Flow '!$L25/$E$39</f>
        <v>16.666666666666668</v>
      </c>
      <c r="Q43" s="169">
        <f>-'Cash Flow '!$L25/$E$39</f>
        <v>16.666666666666668</v>
      </c>
      <c r="R43" s="169">
        <f>-'Cash Flow '!$L25/$E$39</f>
        <v>16.666666666666668</v>
      </c>
      <c r="S43" s="169">
        <f>-'Cash Flow '!$L25/$E$39</f>
        <v>16.666666666666668</v>
      </c>
      <c r="T43" s="169">
        <f>-'Cash Flow '!$L25/$E$39</f>
        <v>16.666666666666668</v>
      </c>
    </row>
    <row r="44" spans="1:20" hidden="1" outlineLevel="1" x14ac:dyDescent="0.2">
      <c r="A44" s="150"/>
      <c r="C44" s="151"/>
      <c r="D44" s="152"/>
      <c r="E44" s="110">
        <f>E43+1</f>
        <v>2005</v>
      </c>
      <c r="F44" s="169"/>
      <c r="G44" s="169"/>
      <c r="H44" s="169"/>
      <c r="I44" s="169"/>
      <c r="J44" s="818">
        <f>-'Cash Flow '!$M$25/$E$39</f>
        <v>16.666666666666668</v>
      </c>
      <c r="K44" s="169">
        <f>-'Cash Flow '!$M25/$E$39</f>
        <v>16.666666666666668</v>
      </c>
      <c r="L44" s="169">
        <f>-'Cash Flow '!$M25/$E$39</f>
        <v>16.666666666666668</v>
      </c>
      <c r="M44" s="169">
        <f>-'Cash Flow '!$M25/$E$39</f>
        <v>16.666666666666668</v>
      </c>
      <c r="N44" s="169">
        <f>-'Cash Flow '!$M25/$E$39</f>
        <v>16.666666666666668</v>
      </c>
      <c r="O44" s="169">
        <f>-'Cash Flow '!$M25/$E$39</f>
        <v>16.666666666666668</v>
      </c>
      <c r="P44" s="169">
        <f>-'Cash Flow '!$M25/$E$39</f>
        <v>16.666666666666668</v>
      </c>
      <c r="Q44" s="169">
        <f>-'Cash Flow '!$M25/$E$39</f>
        <v>16.666666666666668</v>
      </c>
      <c r="R44" s="169">
        <f>-'Cash Flow '!$M25/$E$39</f>
        <v>16.666666666666668</v>
      </c>
      <c r="S44" s="169">
        <f>-'Cash Flow '!$M25/$E$39</f>
        <v>16.666666666666668</v>
      </c>
      <c r="T44" s="169">
        <f>-'Cash Flow '!$M25/$E$39</f>
        <v>16.666666666666668</v>
      </c>
    </row>
    <row r="45" spans="1:20" hidden="1" outlineLevel="1" x14ac:dyDescent="0.2">
      <c r="A45" s="150"/>
      <c r="C45" s="151"/>
      <c r="D45" s="152"/>
      <c r="E45" s="110">
        <f t="shared" ref="E45:E50" si="7">E44+1</f>
        <v>2006</v>
      </c>
      <c r="F45" s="169"/>
      <c r="G45" s="169"/>
      <c r="H45" s="169"/>
      <c r="I45" s="169"/>
      <c r="J45" s="169"/>
      <c r="K45" s="818">
        <f>-'Cash Flow '!$M25/$E$39</f>
        <v>16.666666666666668</v>
      </c>
      <c r="L45" s="818">
        <f>-'Cash Flow '!$M25/$E$39</f>
        <v>16.666666666666668</v>
      </c>
      <c r="M45" s="818">
        <f>-'Cash Flow '!$M25/$E$39</f>
        <v>16.666666666666668</v>
      </c>
      <c r="N45" s="818">
        <f>-'Cash Flow '!$M25/$E$39</f>
        <v>16.666666666666668</v>
      </c>
      <c r="O45" s="818">
        <f>-'Cash Flow '!$M25/$E$39</f>
        <v>16.666666666666668</v>
      </c>
      <c r="P45" s="818">
        <f>-'Cash Flow '!$M25/$E$39</f>
        <v>16.666666666666668</v>
      </c>
      <c r="Q45" s="818">
        <f>-'Cash Flow '!$M25/$E$39</f>
        <v>16.666666666666668</v>
      </c>
      <c r="R45" s="818">
        <f>-'Cash Flow '!$M25/$E$39</f>
        <v>16.666666666666668</v>
      </c>
      <c r="S45" s="818">
        <f>-'Cash Flow '!$M25/$E$39</f>
        <v>16.666666666666668</v>
      </c>
      <c r="T45" s="818">
        <f>-'Cash Flow '!$M25/$E$39</f>
        <v>16.666666666666668</v>
      </c>
    </row>
    <row r="46" spans="1:20" hidden="1" outlineLevel="1" x14ac:dyDescent="0.2">
      <c r="A46" s="150"/>
      <c r="C46" s="151"/>
      <c r="D46" s="152"/>
      <c r="E46" s="110">
        <f t="shared" si="7"/>
        <v>2007</v>
      </c>
      <c r="F46" s="169"/>
      <c r="G46" s="169"/>
      <c r="H46" s="169"/>
      <c r="I46" s="169"/>
      <c r="J46" s="169"/>
      <c r="K46" s="169"/>
      <c r="L46" s="818">
        <f>-'Cash Flow '!$M$25/$E$39</f>
        <v>16.666666666666668</v>
      </c>
      <c r="M46" s="818">
        <f>-'Cash Flow '!$M$25/$E$39</f>
        <v>16.666666666666668</v>
      </c>
      <c r="N46" s="818">
        <f>-'Cash Flow '!$M$25/$E$39</f>
        <v>16.666666666666668</v>
      </c>
      <c r="O46" s="818">
        <f>-'Cash Flow '!$M$25/$E$39</f>
        <v>16.666666666666668</v>
      </c>
      <c r="P46" s="818">
        <f>-'Cash Flow '!$M$25/$E$39</f>
        <v>16.666666666666668</v>
      </c>
      <c r="Q46" s="818">
        <f>-'Cash Flow '!$M$25/$E$39</f>
        <v>16.666666666666668</v>
      </c>
      <c r="R46" s="818">
        <f>-'Cash Flow '!$M$25/$E$39</f>
        <v>16.666666666666668</v>
      </c>
      <c r="S46" s="818">
        <f>-'Cash Flow '!$M$25/$E$39</f>
        <v>16.666666666666668</v>
      </c>
      <c r="T46" s="818">
        <f>-'Cash Flow '!$M$25/$E$39</f>
        <v>16.666666666666668</v>
      </c>
    </row>
    <row r="47" spans="1:20" hidden="1" outlineLevel="1" x14ac:dyDescent="0.2">
      <c r="A47" s="150"/>
      <c r="C47" s="151"/>
      <c r="D47" s="152"/>
      <c r="E47" s="110">
        <f t="shared" si="7"/>
        <v>2008</v>
      </c>
      <c r="F47" s="169"/>
      <c r="G47" s="169"/>
      <c r="H47" s="169"/>
      <c r="I47" s="169"/>
      <c r="J47" s="169"/>
      <c r="K47" s="169"/>
      <c r="L47" s="169"/>
      <c r="M47" s="818">
        <f>-'Cash Flow '!$M$25/$E$39</f>
        <v>16.666666666666668</v>
      </c>
      <c r="N47" s="818">
        <f>-'Cash Flow '!$M$25/$E$39</f>
        <v>16.666666666666668</v>
      </c>
      <c r="O47" s="818">
        <f>-'Cash Flow '!$M$25/$E$39</f>
        <v>16.666666666666668</v>
      </c>
      <c r="P47" s="818">
        <f>-'Cash Flow '!$M$25/$E$39</f>
        <v>16.666666666666668</v>
      </c>
      <c r="Q47" s="818">
        <f>-'Cash Flow '!$M$25/$E$39</f>
        <v>16.666666666666668</v>
      </c>
      <c r="R47" s="818">
        <f>-'Cash Flow '!$M$25/$E$39</f>
        <v>16.666666666666668</v>
      </c>
      <c r="S47" s="818">
        <f>-'Cash Flow '!$M$25/$E$39</f>
        <v>16.666666666666668</v>
      </c>
      <c r="T47" s="818">
        <f>-'Cash Flow '!$M$25/$E$39</f>
        <v>16.666666666666668</v>
      </c>
    </row>
    <row r="48" spans="1:20" hidden="1" outlineLevel="1" x14ac:dyDescent="0.2">
      <c r="A48" s="150"/>
      <c r="C48" s="151"/>
      <c r="D48" s="152"/>
      <c r="E48" s="110">
        <f t="shared" si="7"/>
        <v>2009</v>
      </c>
      <c r="F48" s="169"/>
      <c r="G48" s="169"/>
      <c r="H48" s="169"/>
      <c r="I48" s="169"/>
      <c r="J48" s="169"/>
      <c r="K48" s="169"/>
      <c r="L48" s="169"/>
      <c r="M48" s="169"/>
      <c r="N48" s="818">
        <f>-'Cash Flow '!$M$25/$E$39</f>
        <v>16.666666666666668</v>
      </c>
      <c r="O48" s="818">
        <f>-'Cash Flow '!$M$25/$E$39</f>
        <v>16.666666666666668</v>
      </c>
      <c r="P48" s="818">
        <f>-'Cash Flow '!$M$25/$E$39</f>
        <v>16.666666666666668</v>
      </c>
      <c r="Q48" s="818">
        <f>-'Cash Flow '!$M$25/$E$39</f>
        <v>16.666666666666668</v>
      </c>
      <c r="R48" s="818">
        <f>-'Cash Flow '!$M$25/$E$39</f>
        <v>16.666666666666668</v>
      </c>
      <c r="S48" s="818">
        <f>-'Cash Flow '!$M$25/$E$39</f>
        <v>16.666666666666668</v>
      </c>
      <c r="T48" s="818">
        <f>-'Cash Flow '!$M$25/$E$39</f>
        <v>16.666666666666668</v>
      </c>
    </row>
    <row r="49" spans="1:20" hidden="1" outlineLevel="1" x14ac:dyDescent="0.2">
      <c r="A49" s="150"/>
      <c r="C49" s="151"/>
      <c r="D49" s="152"/>
      <c r="E49" s="110">
        <f t="shared" si="7"/>
        <v>2010</v>
      </c>
      <c r="F49" s="169"/>
      <c r="G49" s="169"/>
      <c r="H49" s="169"/>
      <c r="I49" s="169"/>
      <c r="J49" s="169"/>
      <c r="K49" s="169"/>
      <c r="L49" s="169"/>
      <c r="M49" s="169"/>
      <c r="N49" s="169"/>
      <c r="O49" s="818">
        <f>-'Cash Flow '!$M$25/$E$39</f>
        <v>16.666666666666668</v>
      </c>
      <c r="P49" s="818">
        <f>-'Cash Flow '!$M$25/$E$39</f>
        <v>16.666666666666668</v>
      </c>
      <c r="Q49" s="818">
        <f>-'Cash Flow '!$M$25/$E$39</f>
        <v>16.666666666666668</v>
      </c>
      <c r="R49" s="818">
        <f>-'Cash Flow '!$M$25/$E$39</f>
        <v>16.666666666666668</v>
      </c>
      <c r="S49" s="818">
        <f>-'Cash Flow '!$M$25/$E$39</f>
        <v>16.666666666666668</v>
      </c>
      <c r="T49" s="818">
        <f>-'Cash Flow '!$M$25/$E$39</f>
        <v>16.666666666666668</v>
      </c>
    </row>
    <row r="50" spans="1:20" hidden="1" outlineLevel="1" x14ac:dyDescent="0.2">
      <c r="A50" s="150"/>
      <c r="C50" s="151"/>
      <c r="D50" s="152"/>
      <c r="E50" s="110">
        <f t="shared" si="7"/>
        <v>2011</v>
      </c>
      <c r="F50" s="169"/>
      <c r="G50" s="169"/>
      <c r="H50" s="169"/>
      <c r="I50" s="169"/>
      <c r="J50" s="169"/>
      <c r="K50" s="169"/>
      <c r="L50" s="169"/>
      <c r="M50" s="169"/>
      <c r="N50" s="169"/>
      <c r="O50" s="169"/>
      <c r="P50" s="818">
        <f>-'Cash Flow '!$M$25/$E$39</f>
        <v>16.666666666666668</v>
      </c>
      <c r="Q50" s="818">
        <f>-'Cash Flow '!$M$25/$E$39</f>
        <v>16.666666666666668</v>
      </c>
      <c r="R50" s="818">
        <f>-'Cash Flow '!$M$25/$E$39</f>
        <v>16.666666666666668</v>
      </c>
      <c r="S50" s="818">
        <f>-'Cash Flow '!$M$25/$E$39</f>
        <v>16.666666666666668</v>
      </c>
      <c r="T50" s="818">
        <f>-'Cash Flow '!$M$25/$E$39</f>
        <v>16.666666666666668</v>
      </c>
    </row>
    <row r="51" spans="1:20" hidden="1" outlineLevel="1" x14ac:dyDescent="0.2">
      <c r="A51" s="150"/>
      <c r="C51" s="151"/>
      <c r="D51" s="152"/>
      <c r="E51" s="110"/>
      <c r="F51" s="169"/>
      <c r="G51" s="169"/>
      <c r="H51" s="169"/>
      <c r="I51" s="169"/>
      <c r="J51" s="169"/>
      <c r="K51" s="169"/>
      <c r="L51" s="169"/>
      <c r="M51" s="169"/>
      <c r="N51" s="169"/>
      <c r="O51" s="169"/>
      <c r="P51" s="169"/>
      <c r="Q51" s="169"/>
      <c r="R51" s="169"/>
      <c r="S51" s="169"/>
      <c r="T51" s="169"/>
    </row>
    <row r="52" spans="1:20" collapsed="1" x14ac:dyDescent="0.2">
      <c r="A52" s="168"/>
      <c r="B52" t="s">
        <v>275</v>
      </c>
      <c r="C52" s="151"/>
      <c r="D52" s="151"/>
      <c r="E52" s="169">
        <f>E29+E31+E33+E35+E37</f>
        <v>28793.353966666666</v>
      </c>
      <c r="F52" s="169">
        <f>SUM(F29:F39)</f>
        <v>968.11179888888887</v>
      </c>
      <c r="G52" s="169">
        <f>SUM(G29:G39)</f>
        <v>984.7784655555555</v>
      </c>
      <c r="H52" s="169">
        <f t="shared" ref="H52:P52" si="8">SUM(H29:H39)</f>
        <v>1001.4451322222221</v>
      </c>
      <c r="I52" s="169">
        <f t="shared" si="8"/>
        <v>1018.1117988888889</v>
      </c>
      <c r="J52" s="169">
        <f t="shared" si="8"/>
        <v>1034.7784655555556</v>
      </c>
      <c r="K52" s="169">
        <f t="shared" si="8"/>
        <v>1051.4451322222221</v>
      </c>
      <c r="L52" s="169">
        <f t="shared" si="8"/>
        <v>1068.1117988888889</v>
      </c>
      <c r="M52" s="169">
        <f t="shared" si="8"/>
        <v>1084.7784655555556</v>
      </c>
      <c r="N52" s="169">
        <f t="shared" si="8"/>
        <v>1101.4451322222221</v>
      </c>
      <c r="O52" s="169">
        <f t="shared" si="8"/>
        <v>1118.1117988888889</v>
      </c>
      <c r="P52" s="169">
        <f t="shared" si="8"/>
        <v>1134.7784655555556</v>
      </c>
      <c r="Q52" s="169">
        <f>SUM(Q29:Q39)</f>
        <v>1134.7784655555556</v>
      </c>
      <c r="R52" s="169">
        <f>SUM(R29:R39)</f>
        <v>1134.7784655555556</v>
      </c>
      <c r="S52" s="169">
        <f>SUM(S29:S39)</f>
        <v>1134.7784655555556</v>
      </c>
      <c r="T52" s="169">
        <f>SUM(T29:T39)</f>
        <v>1134.7784655555556</v>
      </c>
    </row>
    <row r="53" spans="1:20" ht="13.5" thickBot="1" x14ac:dyDescent="0.25">
      <c r="A53" s="169"/>
      <c r="F53" s="169"/>
      <c r="G53" s="169"/>
      <c r="H53" s="169"/>
      <c r="I53" s="169"/>
      <c r="J53" s="169"/>
      <c r="K53" s="169"/>
      <c r="L53" s="169"/>
      <c r="M53" s="169"/>
      <c r="N53" s="169"/>
      <c r="O53" s="169"/>
      <c r="P53" s="169"/>
      <c r="Q53" s="169"/>
      <c r="R53" s="169"/>
      <c r="S53" s="169"/>
      <c r="T53" s="169"/>
    </row>
    <row r="54" spans="1:20" ht="26.25" thickBot="1" x14ac:dyDescent="0.25">
      <c r="A54" s="180" t="s">
        <v>360</v>
      </c>
      <c r="C54" s="202" t="s">
        <v>369</v>
      </c>
      <c r="D54" s="204">
        <v>1</v>
      </c>
      <c r="E54" s="206" t="s">
        <v>362</v>
      </c>
      <c r="F54" s="169"/>
      <c r="G54" s="169"/>
      <c r="H54" s="169"/>
      <c r="I54" s="169"/>
      <c r="J54" s="169"/>
      <c r="K54" s="169"/>
      <c r="L54" s="169"/>
      <c r="M54" s="169"/>
      <c r="N54" s="169"/>
      <c r="O54" s="169"/>
      <c r="P54" s="169"/>
      <c r="Q54" s="169"/>
      <c r="R54" s="169"/>
      <c r="S54" s="169"/>
      <c r="T54" s="169"/>
    </row>
    <row r="56" spans="1:20" x14ac:dyDescent="0.2">
      <c r="A56" s="169">
        <f>D4</f>
        <v>2382.46</v>
      </c>
      <c r="B56" t="s">
        <v>149</v>
      </c>
      <c r="D56" s="152" t="s">
        <v>385</v>
      </c>
      <c r="E56" s="169">
        <f>IF(D54=0,0,A56-E29)</f>
        <v>2277.0263123574723</v>
      </c>
      <c r="F56" s="169">
        <f t="shared" ref="F56:T56" si="9">$E56/$E57</f>
        <v>75.900877078582411</v>
      </c>
      <c r="G56" s="169">
        <f t="shared" si="9"/>
        <v>75.900877078582411</v>
      </c>
      <c r="H56" s="169">
        <f t="shared" si="9"/>
        <v>75.900877078582411</v>
      </c>
      <c r="I56" s="169">
        <f t="shared" si="9"/>
        <v>75.900877078582411</v>
      </c>
      <c r="J56" s="169">
        <f t="shared" si="9"/>
        <v>75.900877078582411</v>
      </c>
      <c r="K56" s="169">
        <f t="shared" si="9"/>
        <v>75.900877078582411</v>
      </c>
      <c r="L56" s="169">
        <f t="shared" si="9"/>
        <v>75.900877078582411</v>
      </c>
      <c r="M56" s="169">
        <f t="shared" si="9"/>
        <v>75.900877078582411</v>
      </c>
      <c r="N56" s="169">
        <f t="shared" si="9"/>
        <v>75.900877078582411</v>
      </c>
      <c r="O56" s="169">
        <f t="shared" si="9"/>
        <v>75.900877078582411</v>
      </c>
      <c r="P56" s="169">
        <f t="shared" si="9"/>
        <v>75.900877078582411</v>
      </c>
      <c r="Q56" s="169">
        <f t="shared" si="9"/>
        <v>75.900877078582411</v>
      </c>
      <c r="R56" s="169">
        <f t="shared" si="9"/>
        <v>75.900877078582411</v>
      </c>
      <c r="S56" s="169">
        <f t="shared" si="9"/>
        <v>75.900877078582411</v>
      </c>
      <c r="T56" s="169">
        <f t="shared" si="9"/>
        <v>75.900877078582411</v>
      </c>
    </row>
    <row r="57" spans="1:20" x14ac:dyDescent="0.2">
      <c r="A57" s="169"/>
      <c r="C57" s="151"/>
      <c r="D57" s="513" t="s">
        <v>607</v>
      </c>
      <c r="E57" s="162">
        <f>Assumptions!$B$49</f>
        <v>30</v>
      </c>
      <c r="F57" s="169"/>
      <c r="G57" s="169"/>
      <c r="H57" s="169"/>
      <c r="I57" s="169"/>
      <c r="J57" s="169"/>
      <c r="K57" s="169"/>
      <c r="L57" s="169"/>
      <c r="M57" s="169"/>
      <c r="N57" s="169"/>
      <c r="O57" s="169"/>
      <c r="P57" s="169"/>
      <c r="Q57" s="169"/>
      <c r="R57" s="169"/>
      <c r="S57" s="169"/>
      <c r="T57" s="169"/>
    </row>
    <row r="58" spans="1:20" x14ac:dyDescent="0.2">
      <c r="A58" s="169">
        <f ca="1">+Goodwill!K9</f>
        <v>27883.475997714821</v>
      </c>
      <c r="B58" t="s">
        <v>809</v>
      </c>
      <c r="C58" s="151"/>
      <c r="D58" s="152" t="s">
        <v>385</v>
      </c>
      <c r="E58" s="169">
        <f ca="1">IF(D54=0,0,A58-E31)</f>
        <v>20892.606997714822</v>
      </c>
      <c r="F58" s="169">
        <f t="shared" ref="F58:T58" ca="1" si="10">$E58/$E59</f>
        <v>696.4202332571607</v>
      </c>
      <c r="G58" s="169">
        <f t="shared" ca="1" si="10"/>
        <v>696.4202332571607</v>
      </c>
      <c r="H58" s="169">
        <f t="shared" ca="1" si="10"/>
        <v>696.4202332571607</v>
      </c>
      <c r="I58" s="169">
        <f t="shared" ca="1" si="10"/>
        <v>696.4202332571607</v>
      </c>
      <c r="J58" s="169">
        <f t="shared" ca="1" si="10"/>
        <v>696.4202332571607</v>
      </c>
      <c r="K58" s="169">
        <f t="shared" ca="1" si="10"/>
        <v>696.4202332571607</v>
      </c>
      <c r="L58" s="169">
        <f t="shared" ca="1" si="10"/>
        <v>696.4202332571607</v>
      </c>
      <c r="M58" s="169">
        <f t="shared" ca="1" si="10"/>
        <v>696.4202332571607</v>
      </c>
      <c r="N58" s="169">
        <f t="shared" ca="1" si="10"/>
        <v>696.4202332571607</v>
      </c>
      <c r="O58" s="169">
        <f t="shared" ca="1" si="10"/>
        <v>696.4202332571607</v>
      </c>
      <c r="P58" s="169">
        <f t="shared" ca="1" si="10"/>
        <v>696.4202332571607</v>
      </c>
      <c r="Q58" s="169">
        <f t="shared" ca="1" si="10"/>
        <v>696.4202332571607</v>
      </c>
      <c r="R58" s="169">
        <f t="shared" ca="1" si="10"/>
        <v>696.4202332571607</v>
      </c>
      <c r="S58" s="169">
        <f t="shared" ca="1" si="10"/>
        <v>696.4202332571607</v>
      </c>
      <c r="T58" s="169">
        <f t="shared" ca="1" si="10"/>
        <v>696.4202332571607</v>
      </c>
    </row>
    <row r="59" spans="1:20" x14ac:dyDescent="0.2">
      <c r="A59" s="169"/>
      <c r="C59" s="151"/>
      <c r="D59" s="513" t="s">
        <v>607</v>
      </c>
      <c r="E59" s="162">
        <f>Assumptions!$B$49</f>
        <v>30</v>
      </c>
      <c r="F59" s="169"/>
      <c r="G59" s="169"/>
      <c r="H59" s="169"/>
      <c r="I59" s="169"/>
      <c r="J59" s="169"/>
      <c r="K59" s="169"/>
      <c r="L59" s="169"/>
      <c r="M59" s="169"/>
      <c r="N59" s="169"/>
      <c r="O59" s="169"/>
      <c r="P59" s="169"/>
      <c r="Q59" s="169"/>
      <c r="R59" s="169"/>
      <c r="S59" s="169"/>
      <c r="T59" s="169"/>
    </row>
    <row r="60" spans="1:20" x14ac:dyDescent="0.2">
      <c r="A60" s="169">
        <f ca="1">+Goodwill!K8</f>
        <v>24145.862525677021</v>
      </c>
      <c r="B60" t="s">
        <v>272</v>
      </c>
      <c r="C60" s="151"/>
      <c r="D60" s="152" t="s">
        <v>385</v>
      </c>
      <c r="E60" s="169">
        <f ca="1">IF(D54=0,0,A60-E33)</f>
        <v>3145.4765256770224</v>
      </c>
      <c r="F60" s="169">
        <f t="shared" ref="F60:T60" ca="1" si="11">$E60/$E61</f>
        <v>104.84921752256741</v>
      </c>
      <c r="G60" s="169">
        <f t="shared" ca="1" si="11"/>
        <v>104.84921752256741</v>
      </c>
      <c r="H60" s="169">
        <f t="shared" ca="1" si="11"/>
        <v>104.84921752256741</v>
      </c>
      <c r="I60" s="169">
        <f t="shared" ca="1" si="11"/>
        <v>104.84921752256741</v>
      </c>
      <c r="J60" s="169">
        <f t="shared" ca="1" si="11"/>
        <v>104.84921752256741</v>
      </c>
      <c r="K60" s="169">
        <f t="shared" ca="1" si="11"/>
        <v>104.84921752256741</v>
      </c>
      <c r="L60" s="169">
        <f t="shared" ca="1" si="11"/>
        <v>104.84921752256741</v>
      </c>
      <c r="M60" s="169">
        <f t="shared" ca="1" si="11"/>
        <v>104.84921752256741</v>
      </c>
      <c r="N60" s="169">
        <f t="shared" ca="1" si="11"/>
        <v>104.84921752256741</v>
      </c>
      <c r="O60" s="169">
        <f t="shared" ca="1" si="11"/>
        <v>104.84921752256741</v>
      </c>
      <c r="P60" s="169">
        <f t="shared" ca="1" si="11"/>
        <v>104.84921752256741</v>
      </c>
      <c r="Q60" s="169">
        <f t="shared" ca="1" si="11"/>
        <v>104.84921752256741</v>
      </c>
      <c r="R60" s="169">
        <f t="shared" ca="1" si="11"/>
        <v>104.84921752256741</v>
      </c>
      <c r="S60" s="169">
        <f t="shared" ca="1" si="11"/>
        <v>104.84921752256741</v>
      </c>
      <c r="T60" s="169">
        <f t="shared" ca="1" si="11"/>
        <v>104.84921752256741</v>
      </c>
    </row>
    <row r="61" spans="1:20" x14ac:dyDescent="0.2">
      <c r="A61" s="169"/>
      <c r="C61" s="151"/>
      <c r="D61" s="513" t="s">
        <v>607</v>
      </c>
      <c r="E61" s="162">
        <f>Assumptions!$B$49</f>
        <v>30</v>
      </c>
      <c r="F61" s="169"/>
      <c r="G61" s="169"/>
      <c r="H61" s="169"/>
      <c r="I61" s="169"/>
      <c r="J61" s="169"/>
      <c r="K61" s="169"/>
      <c r="L61" s="169"/>
      <c r="M61" s="169"/>
      <c r="N61" s="169"/>
      <c r="O61" s="169"/>
      <c r="P61" s="169"/>
      <c r="Q61" s="169"/>
      <c r="R61" s="169"/>
      <c r="S61" s="169"/>
      <c r="T61" s="169"/>
    </row>
    <row r="62" spans="1:20" x14ac:dyDescent="0.2">
      <c r="A62" s="162">
        <f>D10</f>
        <v>1534.14</v>
      </c>
      <c r="B62" t="s">
        <v>273</v>
      </c>
      <c r="C62" s="151"/>
      <c r="D62" s="152" t="s">
        <v>385</v>
      </c>
      <c r="E62" s="169">
        <f>IF(D54=0,0,A62-E35)</f>
        <v>1297.3017209758609</v>
      </c>
      <c r="F62" s="169">
        <f t="shared" ref="F62:T62" si="12">$E62/$E63</f>
        <v>43.243390699195366</v>
      </c>
      <c r="G62" s="169">
        <f t="shared" si="12"/>
        <v>43.243390699195366</v>
      </c>
      <c r="H62" s="169">
        <f t="shared" si="12"/>
        <v>43.243390699195366</v>
      </c>
      <c r="I62" s="169">
        <f t="shared" si="12"/>
        <v>43.243390699195366</v>
      </c>
      <c r="J62" s="169">
        <f t="shared" si="12"/>
        <v>43.243390699195366</v>
      </c>
      <c r="K62" s="169">
        <f t="shared" si="12"/>
        <v>43.243390699195366</v>
      </c>
      <c r="L62" s="169">
        <f t="shared" si="12"/>
        <v>43.243390699195366</v>
      </c>
      <c r="M62" s="169">
        <f t="shared" si="12"/>
        <v>43.243390699195366</v>
      </c>
      <c r="N62" s="169">
        <f t="shared" si="12"/>
        <v>43.243390699195366</v>
      </c>
      <c r="O62" s="169">
        <f t="shared" si="12"/>
        <v>43.243390699195366</v>
      </c>
      <c r="P62" s="169">
        <f t="shared" si="12"/>
        <v>43.243390699195366</v>
      </c>
      <c r="Q62" s="169">
        <f t="shared" si="12"/>
        <v>43.243390699195366</v>
      </c>
      <c r="R62" s="169">
        <f t="shared" si="12"/>
        <v>43.243390699195366</v>
      </c>
      <c r="S62" s="169">
        <f t="shared" si="12"/>
        <v>43.243390699195366</v>
      </c>
      <c r="T62" s="169">
        <f t="shared" si="12"/>
        <v>43.243390699195366</v>
      </c>
    </row>
    <row r="63" spans="1:20" x14ac:dyDescent="0.2">
      <c r="C63" s="151"/>
      <c r="D63" s="513" t="s">
        <v>607</v>
      </c>
      <c r="E63" s="162">
        <f>Assumptions!$B$49</f>
        <v>30</v>
      </c>
      <c r="F63" s="169"/>
      <c r="G63" s="169"/>
      <c r="H63" s="169"/>
      <c r="I63" s="169"/>
      <c r="J63" s="169"/>
      <c r="K63" s="169"/>
      <c r="L63" s="169"/>
      <c r="M63" s="169"/>
      <c r="N63" s="169"/>
      <c r="O63" s="169"/>
      <c r="P63" s="169"/>
      <c r="Q63" s="169"/>
      <c r="R63" s="169"/>
      <c r="S63" s="169"/>
      <c r="T63" s="169"/>
    </row>
    <row r="64" spans="1:20" x14ac:dyDescent="0.2">
      <c r="A64" s="162">
        <f ca="1">+Goodwill!K12</f>
        <v>23779.965131541117</v>
      </c>
      <c r="B64" t="s">
        <v>274</v>
      </c>
      <c r="C64" s="151"/>
      <c r="D64" s="152" t="s">
        <v>385</v>
      </c>
      <c r="E64" s="169">
        <f ca="1">IF(D54=0,0,A64-E37)</f>
        <v>23320.138131541116</v>
      </c>
      <c r="F64" s="169">
        <f t="shared" ref="F64:T64" ca="1" si="13">$E64/$E65</f>
        <v>777.33793771803721</v>
      </c>
      <c r="G64" s="169">
        <f t="shared" ca="1" si="13"/>
        <v>777.33793771803721</v>
      </c>
      <c r="H64" s="169">
        <f t="shared" ca="1" si="13"/>
        <v>777.33793771803721</v>
      </c>
      <c r="I64" s="169">
        <f t="shared" ca="1" si="13"/>
        <v>777.33793771803721</v>
      </c>
      <c r="J64" s="169">
        <f t="shared" ca="1" si="13"/>
        <v>777.33793771803721</v>
      </c>
      <c r="K64" s="169">
        <f t="shared" ca="1" si="13"/>
        <v>777.33793771803721</v>
      </c>
      <c r="L64" s="169">
        <f t="shared" ca="1" si="13"/>
        <v>777.33793771803721</v>
      </c>
      <c r="M64" s="169">
        <f t="shared" ca="1" si="13"/>
        <v>777.33793771803721</v>
      </c>
      <c r="N64" s="169">
        <f t="shared" ca="1" si="13"/>
        <v>777.33793771803721</v>
      </c>
      <c r="O64" s="169">
        <f t="shared" ca="1" si="13"/>
        <v>777.33793771803721</v>
      </c>
      <c r="P64" s="169">
        <f t="shared" ca="1" si="13"/>
        <v>777.33793771803721</v>
      </c>
      <c r="Q64" s="169">
        <f t="shared" ca="1" si="13"/>
        <v>777.33793771803721</v>
      </c>
      <c r="R64" s="169">
        <f t="shared" ca="1" si="13"/>
        <v>777.33793771803721</v>
      </c>
      <c r="S64" s="169">
        <f t="shared" ca="1" si="13"/>
        <v>777.33793771803721</v>
      </c>
      <c r="T64" s="169">
        <f t="shared" ca="1" si="13"/>
        <v>777.33793771803721</v>
      </c>
    </row>
    <row r="65" spans="1:20" x14ac:dyDescent="0.2">
      <c r="C65" s="151"/>
      <c r="D65" s="513" t="s">
        <v>607</v>
      </c>
      <c r="E65" s="162">
        <f>Assumptions!$B$49</f>
        <v>30</v>
      </c>
      <c r="F65" s="169"/>
      <c r="G65" s="169"/>
      <c r="H65" s="169"/>
      <c r="I65" s="169"/>
      <c r="J65" s="169"/>
      <c r="K65" s="169"/>
      <c r="L65" s="169"/>
      <c r="M65" s="169"/>
      <c r="N65" s="169"/>
      <c r="O65" s="169"/>
      <c r="P65" s="169"/>
      <c r="Q65" s="169"/>
      <c r="R65" s="169"/>
      <c r="S65" s="169"/>
      <c r="T65" s="169"/>
    </row>
    <row r="66" spans="1:20" x14ac:dyDescent="0.2">
      <c r="A66" s="162">
        <f ca="1">SUM(A56:A64)</f>
        <v>79725.903654932961</v>
      </c>
      <c r="B66" t="s">
        <v>275</v>
      </c>
      <c r="C66" s="151"/>
      <c r="D66" s="152" t="s">
        <v>237</v>
      </c>
      <c r="E66" s="162">
        <f ca="1">E56+E58+E60+E62+E64</f>
        <v>50932.549688266299</v>
      </c>
      <c r="F66" s="169">
        <f ca="1">SUM(F56:F65)</f>
        <v>1697.7516562755432</v>
      </c>
      <c r="G66" s="169">
        <f t="shared" ref="G66:P66" ca="1" si="14">SUM(G56:G65)</f>
        <v>1697.7516562755432</v>
      </c>
      <c r="H66" s="169">
        <f t="shared" ca="1" si="14"/>
        <v>1697.7516562755432</v>
      </c>
      <c r="I66" s="169">
        <f t="shared" ca="1" si="14"/>
        <v>1697.7516562755432</v>
      </c>
      <c r="J66" s="169">
        <f t="shared" ca="1" si="14"/>
        <v>1697.7516562755432</v>
      </c>
      <c r="K66" s="169">
        <f t="shared" ca="1" si="14"/>
        <v>1697.7516562755432</v>
      </c>
      <c r="L66" s="169">
        <f t="shared" ca="1" si="14"/>
        <v>1697.7516562755432</v>
      </c>
      <c r="M66" s="169">
        <f t="shared" ca="1" si="14"/>
        <v>1697.7516562755432</v>
      </c>
      <c r="N66" s="169">
        <f t="shared" ca="1" si="14"/>
        <v>1697.7516562755432</v>
      </c>
      <c r="O66" s="169">
        <f t="shared" ca="1" si="14"/>
        <v>1697.7516562755432</v>
      </c>
      <c r="P66" s="169">
        <f t="shared" ca="1" si="14"/>
        <v>1697.7516562755432</v>
      </c>
      <c r="Q66" s="169">
        <f ca="1">SUM(Q56:Q65)</f>
        <v>1697.7516562755432</v>
      </c>
      <c r="R66" s="169">
        <f ca="1">SUM(R56:R65)</f>
        <v>1697.7516562755432</v>
      </c>
      <c r="S66" s="169">
        <f ca="1">SUM(S56:S65)</f>
        <v>1697.7516562755432</v>
      </c>
      <c r="T66" s="169">
        <f ca="1">SUM(T56:T65)</f>
        <v>1697.7516562755432</v>
      </c>
    </row>
    <row r="67" spans="1:20" x14ac:dyDescent="0.2">
      <c r="C67" s="151"/>
      <c r="D67" s="152"/>
      <c r="E67" s="162"/>
      <c r="F67" s="169"/>
      <c r="G67" s="169"/>
      <c r="H67" s="169"/>
      <c r="I67" s="169"/>
      <c r="J67" s="169"/>
      <c r="K67" s="169"/>
      <c r="L67" s="169"/>
      <c r="M67" s="169"/>
      <c r="N67" s="169"/>
      <c r="O67" s="169"/>
      <c r="P67" s="169"/>
      <c r="Q67" s="169"/>
      <c r="R67" s="169"/>
      <c r="S67" s="169"/>
      <c r="T67" s="169"/>
    </row>
    <row r="68" spans="1:20" x14ac:dyDescent="0.2">
      <c r="A68" s="515">
        <f ca="1">Goodwill!G16</f>
        <v>40968.657209831013</v>
      </c>
      <c r="B68" t="s">
        <v>388</v>
      </c>
      <c r="C68" s="512"/>
      <c r="D68" s="619" t="s">
        <v>705</v>
      </c>
      <c r="E68" s="514">
        <f ca="1">IF(D54=0,0,A68)</f>
        <v>40968.657209831013</v>
      </c>
      <c r="F68" s="169">
        <f t="shared" ref="F68:T68" ca="1" si="15">+$E$68/$E$69</f>
        <v>1024.2164302457754</v>
      </c>
      <c r="G68" s="169">
        <f t="shared" ca="1" si="15"/>
        <v>1024.2164302457754</v>
      </c>
      <c r="H68" s="169">
        <f t="shared" ca="1" si="15"/>
        <v>1024.2164302457754</v>
      </c>
      <c r="I68" s="169">
        <f t="shared" ca="1" si="15"/>
        <v>1024.2164302457754</v>
      </c>
      <c r="J68" s="169">
        <f t="shared" ca="1" si="15"/>
        <v>1024.2164302457754</v>
      </c>
      <c r="K68" s="169">
        <f t="shared" ca="1" si="15"/>
        <v>1024.2164302457754</v>
      </c>
      <c r="L68" s="169">
        <f t="shared" ca="1" si="15"/>
        <v>1024.2164302457754</v>
      </c>
      <c r="M68" s="169">
        <f t="shared" ca="1" si="15"/>
        <v>1024.2164302457754</v>
      </c>
      <c r="N68" s="169">
        <f t="shared" ca="1" si="15"/>
        <v>1024.2164302457754</v>
      </c>
      <c r="O68" s="169">
        <f t="shared" ca="1" si="15"/>
        <v>1024.2164302457754</v>
      </c>
      <c r="P68" s="169">
        <f t="shared" ca="1" si="15"/>
        <v>1024.2164302457754</v>
      </c>
      <c r="Q68" s="169">
        <f t="shared" ca="1" si="15"/>
        <v>1024.2164302457754</v>
      </c>
      <c r="R68" s="169">
        <f t="shared" ca="1" si="15"/>
        <v>1024.2164302457754</v>
      </c>
      <c r="S68" s="169">
        <f t="shared" ca="1" si="15"/>
        <v>1024.2164302457754</v>
      </c>
      <c r="T68" s="169">
        <f t="shared" ca="1" si="15"/>
        <v>1024.2164302457754</v>
      </c>
    </row>
    <row r="69" spans="1:20" x14ac:dyDescent="0.2">
      <c r="A69" s="180"/>
      <c r="C69" s="512"/>
      <c r="D69" s="619" t="s">
        <v>706</v>
      </c>
      <c r="E69" s="514">
        <f>Assumptions!$B$48</f>
        <v>40</v>
      </c>
      <c r="F69" s="169"/>
      <c r="G69" s="169"/>
      <c r="H69" s="169"/>
      <c r="I69" s="169"/>
      <c r="J69" s="169"/>
      <c r="K69" s="169"/>
      <c r="L69" s="169"/>
      <c r="M69" s="169"/>
      <c r="N69" s="169"/>
      <c r="O69" s="169"/>
      <c r="P69" s="169"/>
      <c r="Q69" s="169"/>
      <c r="R69" s="169"/>
      <c r="S69" s="169"/>
      <c r="T69" s="169"/>
    </row>
    <row r="70" spans="1:20" x14ac:dyDescent="0.2">
      <c r="D70" s="151"/>
      <c r="E70" s="151"/>
      <c r="F70" s="151"/>
      <c r="G70" s="151"/>
      <c r="H70" s="151"/>
      <c r="I70" s="151"/>
      <c r="J70" s="151"/>
      <c r="K70" s="151"/>
      <c r="L70" s="151"/>
      <c r="M70" s="151"/>
      <c r="N70" s="151"/>
      <c r="O70" s="151"/>
      <c r="P70" s="151"/>
      <c r="Q70" s="151"/>
      <c r="R70" s="151"/>
      <c r="S70" s="151"/>
      <c r="T70" s="151"/>
    </row>
    <row r="71" spans="1:20" ht="13.5" thickBot="1" x14ac:dyDescent="0.25">
      <c r="E71" s="825" t="s">
        <v>708</v>
      </c>
      <c r="F71" s="139"/>
      <c r="G71" s="142"/>
      <c r="H71" s="142"/>
      <c r="I71" s="142"/>
      <c r="J71" s="142"/>
      <c r="K71" s="142" t="s">
        <v>277</v>
      </c>
      <c r="L71" s="142"/>
      <c r="M71" s="142"/>
      <c r="N71" s="142"/>
      <c r="O71" s="142"/>
      <c r="P71" s="142"/>
      <c r="Q71" s="142"/>
      <c r="R71" s="142"/>
      <c r="S71" s="142"/>
      <c r="T71" s="141"/>
    </row>
    <row r="72" spans="1:20" ht="13.5" thickBot="1" x14ac:dyDescent="0.25">
      <c r="C72" s="202" t="s">
        <v>369</v>
      </c>
      <c r="D72" s="204">
        <v>1</v>
      </c>
      <c r="E72" s="825"/>
      <c r="F72" s="147">
        <v>2001</v>
      </c>
      <c r="G72" s="134">
        <f t="shared" ref="G72:P72" si="16">F72+1</f>
        <v>2002</v>
      </c>
      <c r="H72" s="134">
        <f t="shared" si="16"/>
        <v>2003</v>
      </c>
      <c r="I72" s="134">
        <f t="shared" si="16"/>
        <v>2004</v>
      </c>
      <c r="J72" s="134">
        <f t="shared" si="16"/>
        <v>2005</v>
      </c>
      <c r="K72" s="134">
        <f t="shared" si="16"/>
        <v>2006</v>
      </c>
      <c r="L72" s="134">
        <f t="shared" si="16"/>
        <v>2007</v>
      </c>
      <c r="M72" s="134">
        <f t="shared" si="16"/>
        <v>2008</v>
      </c>
      <c r="N72" s="134">
        <f t="shared" si="16"/>
        <v>2009</v>
      </c>
      <c r="O72" s="134">
        <f t="shared" si="16"/>
        <v>2010</v>
      </c>
      <c r="P72" s="134">
        <f t="shared" si="16"/>
        <v>2011</v>
      </c>
      <c r="Q72" s="134">
        <f>P72+1</f>
        <v>2012</v>
      </c>
      <c r="R72" s="134">
        <f>Q72+1</f>
        <v>2013</v>
      </c>
      <c r="S72" s="134">
        <f>R72+1</f>
        <v>2014</v>
      </c>
      <c r="T72" s="148">
        <f>S72+1</f>
        <v>2015</v>
      </c>
    </row>
    <row r="73" spans="1:20" ht="13.5" thickBot="1" x14ac:dyDescent="0.25">
      <c r="C73" s="153" t="s">
        <v>384</v>
      </c>
      <c r="D73" s="203">
        <v>7</v>
      </c>
      <c r="F73" s="138">
        <f t="shared" ref="F73:P73" si="17">IF($D$73=10,F74,IF($D$73=7,F75,"error"))</f>
        <v>0.1429</v>
      </c>
      <c r="G73" s="138">
        <f t="shared" si="17"/>
        <v>0.24490000000000001</v>
      </c>
      <c r="H73" s="138">
        <f t="shared" si="17"/>
        <v>0.1749</v>
      </c>
      <c r="I73" s="138">
        <f t="shared" si="17"/>
        <v>0.1249</v>
      </c>
      <c r="J73" s="138">
        <f t="shared" si="17"/>
        <v>8.9300000000000004E-2</v>
      </c>
      <c r="K73" s="138">
        <f t="shared" si="17"/>
        <v>8.9200000000000002E-2</v>
      </c>
      <c r="L73" s="138">
        <f t="shared" si="17"/>
        <v>8.9300000000000004E-2</v>
      </c>
      <c r="M73" s="138">
        <f t="shared" si="17"/>
        <v>4.4600000000000001E-2</v>
      </c>
      <c r="N73" s="138">
        <f t="shared" si="17"/>
        <v>0</v>
      </c>
      <c r="O73" s="138">
        <f t="shared" si="17"/>
        <v>0</v>
      </c>
      <c r="P73" s="138">
        <f t="shared" si="17"/>
        <v>0</v>
      </c>
      <c r="Q73" s="138">
        <f t="shared" ref="Q73:T74" si="18">IF($D$73=10,Q74,IF($D$73=7,Q75,"error"))</f>
        <v>0</v>
      </c>
      <c r="R73" s="138">
        <f t="shared" si="18"/>
        <v>0</v>
      </c>
      <c r="S73" s="138">
        <f t="shared" si="18"/>
        <v>0</v>
      </c>
      <c r="T73" s="138">
        <f t="shared" si="18"/>
        <v>0</v>
      </c>
    </row>
    <row r="74" spans="1:20" hidden="1" outlineLevel="1" x14ac:dyDescent="0.2">
      <c r="D74" s="153"/>
      <c r="E74" s="110">
        <v>10</v>
      </c>
      <c r="F74" s="154">
        <v>0.1</v>
      </c>
      <c r="G74" s="154">
        <v>0.18</v>
      </c>
      <c r="H74" s="154">
        <v>0.14399999999999999</v>
      </c>
      <c r="I74" s="154">
        <v>0.1152</v>
      </c>
      <c r="J74" s="154">
        <v>9.2200000000000004E-2</v>
      </c>
      <c r="K74" s="154">
        <v>7.3700000000000002E-2</v>
      </c>
      <c r="L74" s="154">
        <v>6.5500000000000003E-2</v>
      </c>
      <c r="M74" s="154">
        <v>6.5500000000000003E-2</v>
      </c>
      <c r="N74" s="154">
        <v>6.5600000000000006E-2</v>
      </c>
      <c r="O74" s="154">
        <v>6.5500000000000003E-2</v>
      </c>
      <c r="P74" s="96">
        <v>3.2800000000000003E-2</v>
      </c>
      <c r="Q74" s="138">
        <f t="shared" si="18"/>
        <v>0</v>
      </c>
      <c r="R74" s="138">
        <f t="shared" si="18"/>
        <v>0</v>
      </c>
      <c r="S74" s="138">
        <f t="shared" si="18"/>
        <v>0</v>
      </c>
      <c r="T74" s="138">
        <f t="shared" si="18"/>
        <v>0</v>
      </c>
    </row>
    <row r="75" spans="1:20" hidden="1" outlineLevel="1" x14ac:dyDescent="0.2">
      <c r="D75" s="153"/>
      <c r="E75" s="110">
        <v>7</v>
      </c>
      <c r="F75" s="154">
        <v>0.1429</v>
      </c>
      <c r="G75" s="154">
        <v>0.24490000000000001</v>
      </c>
      <c r="H75" s="154">
        <v>0.1749</v>
      </c>
      <c r="I75" s="154">
        <v>0.1249</v>
      </c>
      <c r="J75" s="154">
        <v>8.9300000000000004E-2</v>
      </c>
      <c r="K75" s="154">
        <v>8.9200000000000002E-2</v>
      </c>
      <c r="L75" s="154">
        <v>8.9300000000000004E-2</v>
      </c>
      <c r="M75" s="154">
        <v>4.4600000000000001E-2</v>
      </c>
      <c r="N75" s="154"/>
      <c r="O75" s="154"/>
      <c r="P75" s="96"/>
      <c r="Q75" s="96"/>
      <c r="R75" s="96"/>
      <c r="S75" s="96"/>
      <c r="T75" s="96"/>
    </row>
    <row r="76" spans="1:20" collapsed="1" x14ac:dyDescent="0.2">
      <c r="D76" s="153"/>
      <c r="E76" s="110"/>
      <c r="F76" s="154"/>
      <c r="G76" s="154"/>
      <c r="H76" s="154"/>
      <c r="I76" s="154"/>
      <c r="J76" s="154"/>
      <c r="K76" s="154"/>
      <c r="L76" s="154"/>
      <c r="M76" s="154"/>
      <c r="N76" s="154"/>
      <c r="O76" s="154"/>
      <c r="P76" s="96"/>
      <c r="Q76" s="96"/>
      <c r="R76" s="96"/>
      <c r="S76" s="96"/>
      <c r="T76" s="96"/>
    </row>
    <row r="77" spans="1:20" x14ac:dyDescent="0.2">
      <c r="B77" t="s">
        <v>149</v>
      </c>
      <c r="D77" s="152" t="s">
        <v>385</v>
      </c>
      <c r="E77" s="169">
        <f>IF($D$72=0,E29,IF($D$72=1,A56,"error"))</f>
        <v>2382.46</v>
      </c>
      <c r="F77" s="169">
        <f t="shared" ref="F77:T77" si="19">$E77*F$73</f>
        <v>340.45353399999999</v>
      </c>
      <c r="G77" s="169">
        <f t="shared" si="19"/>
        <v>583.46445400000005</v>
      </c>
      <c r="H77" s="169">
        <f t="shared" si="19"/>
        <v>416.69225399999999</v>
      </c>
      <c r="I77" s="169">
        <f t="shared" si="19"/>
        <v>297.569254</v>
      </c>
      <c r="J77" s="169">
        <f t="shared" si="19"/>
        <v>212.75367800000001</v>
      </c>
      <c r="K77" s="169">
        <f t="shared" si="19"/>
        <v>212.515432</v>
      </c>
      <c r="L77" s="169">
        <f t="shared" si="19"/>
        <v>212.75367800000001</v>
      </c>
      <c r="M77" s="169">
        <f t="shared" si="19"/>
        <v>106.257716</v>
      </c>
      <c r="N77" s="169">
        <f t="shared" si="19"/>
        <v>0</v>
      </c>
      <c r="O77" s="169">
        <f t="shared" si="19"/>
        <v>0</v>
      </c>
      <c r="P77" s="169">
        <f t="shared" si="19"/>
        <v>0</v>
      </c>
      <c r="Q77" s="169">
        <f t="shared" si="19"/>
        <v>0</v>
      </c>
      <c r="R77" s="169">
        <f t="shared" si="19"/>
        <v>0</v>
      </c>
      <c r="S77" s="169">
        <f t="shared" si="19"/>
        <v>0</v>
      </c>
      <c r="T77" s="169">
        <f t="shared" si="19"/>
        <v>0</v>
      </c>
    </row>
    <row r="78" spans="1:20" x14ac:dyDescent="0.2">
      <c r="D78" s="513" t="s">
        <v>607</v>
      </c>
      <c r="E78" s="76">
        <f>$D$73</f>
        <v>7</v>
      </c>
      <c r="F78" s="169"/>
      <c r="G78" s="169"/>
      <c r="H78" s="169"/>
      <c r="I78" s="169"/>
      <c r="J78" s="169"/>
      <c r="K78" s="169"/>
      <c r="L78" s="169"/>
      <c r="M78" s="169"/>
      <c r="N78" s="169"/>
      <c r="O78" s="169"/>
      <c r="P78" s="169"/>
      <c r="Q78" s="169"/>
      <c r="R78" s="169"/>
      <c r="S78" s="169"/>
      <c r="T78" s="169"/>
    </row>
    <row r="79" spans="1:20" x14ac:dyDescent="0.2">
      <c r="B79" t="s">
        <v>152</v>
      </c>
      <c r="D79" s="152" t="s">
        <v>385</v>
      </c>
      <c r="E79" s="169">
        <f ca="1">IF($D$72=0,E31,IF($D$72=1,A58,"error"))</f>
        <v>27883.475997714821</v>
      </c>
      <c r="F79" s="169">
        <f t="shared" ref="F79:T79" ca="1" si="20">$E79*F$73</f>
        <v>3984.5487200734478</v>
      </c>
      <c r="G79" s="169">
        <f t="shared" ca="1" si="20"/>
        <v>6828.6632718403598</v>
      </c>
      <c r="H79" s="169">
        <f t="shared" ca="1" si="20"/>
        <v>4876.8199520003218</v>
      </c>
      <c r="I79" s="169">
        <f t="shared" ca="1" si="20"/>
        <v>3482.6461521145811</v>
      </c>
      <c r="J79" s="169">
        <f t="shared" ca="1" si="20"/>
        <v>2489.9944065959335</v>
      </c>
      <c r="K79" s="169">
        <f t="shared" ca="1" si="20"/>
        <v>2487.206058996162</v>
      </c>
      <c r="L79" s="169">
        <f t="shared" ca="1" si="20"/>
        <v>2489.9944065959335</v>
      </c>
      <c r="M79" s="169">
        <f t="shared" ca="1" si="20"/>
        <v>1243.603029498081</v>
      </c>
      <c r="N79" s="169">
        <f t="shared" ca="1" si="20"/>
        <v>0</v>
      </c>
      <c r="O79" s="169">
        <f t="shared" ca="1" si="20"/>
        <v>0</v>
      </c>
      <c r="P79" s="169">
        <f t="shared" ca="1" si="20"/>
        <v>0</v>
      </c>
      <c r="Q79" s="169">
        <f t="shared" ca="1" si="20"/>
        <v>0</v>
      </c>
      <c r="R79" s="169">
        <f t="shared" ca="1" si="20"/>
        <v>0</v>
      </c>
      <c r="S79" s="169">
        <f t="shared" ca="1" si="20"/>
        <v>0</v>
      </c>
      <c r="T79" s="169">
        <f t="shared" ca="1" si="20"/>
        <v>0</v>
      </c>
    </row>
    <row r="80" spans="1:20" x14ac:dyDescent="0.2">
      <c r="D80" s="513" t="s">
        <v>607</v>
      </c>
      <c r="E80" s="76">
        <f>$D$73</f>
        <v>7</v>
      </c>
      <c r="F80" s="169"/>
      <c r="G80" s="169"/>
      <c r="H80" s="169"/>
      <c r="I80" s="169"/>
      <c r="J80" s="169"/>
      <c r="K80" s="169"/>
      <c r="L80" s="169"/>
      <c r="M80" s="169"/>
      <c r="N80" s="169"/>
      <c r="O80" s="169"/>
      <c r="P80" s="169"/>
      <c r="Q80" s="169"/>
      <c r="R80" s="169"/>
      <c r="S80" s="169"/>
      <c r="T80" s="169"/>
    </row>
    <row r="81" spans="1:20" x14ac:dyDescent="0.2">
      <c r="B81" t="s">
        <v>272</v>
      </c>
      <c r="D81" s="152" t="s">
        <v>385</v>
      </c>
      <c r="E81" s="169">
        <f ca="1">IF($D$72=0,E33,IF($D$72=1,A60,"error"))</f>
        <v>24145.862525677021</v>
      </c>
      <c r="F81" s="169">
        <f t="shared" ref="F81:T81" ca="1" si="21">$E81*F$73</f>
        <v>3450.4437549192462</v>
      </c>
      <c r="G81" s="169">
        <f t="shared" ca="1" si="21"/>
        <v>5913.321732538303</v>
      </c>
      <c r="H81" s="169">
        <f t="shared" ca="1" si="21"/>
        <v>4223.1113557409108</v>
      </c>
      <c r="I81" s="169">
        <f t="shared" ca="1" si="21"/>
        <v>3015.8182294570597</v>
      </c>
      <c r="J81" s="169">
        <f t="shared" ca="1" si="21"/>
        <v>2156.2255235429579</v>
      </c>
      <c r="K81" s="169">
        <f t="shared" ca="1" si="21"/>
        <v>2153.8109372903905</v>
      </c>
      <c r="L81" s="169">
        <f t="shared" ca="1" si="21"/>
        <v>2156.2255235429579</v>
      </c>
      <c r="M81" s="169">
        <f t="shared" ca="1" si="21"/>
        <v>1076.9054686451952</v>
      </c>
      <c r="N81" s="169">
        <f t="shared" ca="1" si="21"/>
        <v>0</v>
      </c>
      <c r="O81" s="169">
        <f t="shared" ca="1" si="21"/>
        <v>0</v>
      </c>
      <c r="P81" s="169">
        <f t="shared" ca="1" si="21"/>
        <v>0</v>
      </c>
      <c r="Q81" s="169">
        <f t="shared" ca="1" si="21"/>
        <v>0</v>
      </c>
      <c r="R81" s="169">
        <f t="shared" ca="1" si="21"/>
        <v>0</v>
      </c>
      <c r="S81" s="169">
        <f t="shared" ca="1" si="21"/>
        <v>0</v>
      </c>
      <c r="T81" s="169">
        <f t="shared" ca="1" si="21"/>
        <v>0</v>
      </c>
    </row>
    <row r="82" spans="1:20" x14ac:dyDescent="0.2">
      <c r="D82" s="513" t="s">
        <v>607</v>
      </c>
      <c r="E82" s="76">
        <f>$D$73</f>
        <v>7</v>
      </c>
      <c r="F82" s="169"/>
      <c r="G82" s="169"/>
      <c r="H82" s="169"/>
      <c r="I82" s="169"/>
      <c r="J82" s="169"/>
      <c r="K82" s="169"/>
      <c r="L82" s="169"/>
      <c r="M82" s="169"/>
      <c r="N82" s="169"/>
      <c r="O82" s="169"/>
      <c r="P82" s="169"/>
      <c r="Q82" s="169"/>
      <c r="R82" s="169"/>
      <c r="S82" s="169"/>
      <c r="T82" s="169"/>
    </row>
    <row r="83" spans="1:20" x14ac:dyDescent="0.2">
      <c r="B83" t="s">
        <v>273</v>
      </c>
      <c r="D83" s="152" t="s">
        <v>385</v>
      </c>
      <c r="E83" s="169">
        <f>IF($D$72=0,E35,IF($D$72=1,A62,"error"))</f>
        <v>1534.14</v>
      </c>
      <c r="F83" s="169">
        <f t="shared" ref="F83:T83" si="22">$E83*F$73</f>
        <v>219.22860600000001</v>
      </c>
      <c r="G83" s="169">
        <f t="shared" si="22"/>
        <v>375.71088600000002</v>
      </c>
      <c r="H83" s="169">
        <f t="shared" si="22"/>
        <v>268.32108600000004</v>
      </c>
      <c r="I83" s="169">
        <f t="shared" si="22"/>
        <v>191.61408600000001</v>
      </c>
      <c r="J83" s="169">
        <f t="shared" si="22"/>
        <v>136.99870200000001</v>
      </c>
      <c r="K83" s="169">
        <f t="shared" si="22"/>
        <v>136.84528800000001</v>
      </c>
      <c r="L83" s="169">
        <f t="shared" si="22"/>
        <v>136.99870200000001</v>
      </c>
      <c r="M83" s="169">
        <f t="shared" si="22"/>
        <v>68.422644000000005</v>
      </c>
      <c r="N83" s="169">
        <f t="shared" si="22"/>
        <v>0</v>
      </c>
      <c r="O83" s="169">
        <f t="shared" si="22"/>
        <v>0</v>
      </c>
      <c r="P83" s="169">
        <f t="shared" si="22"/>
        <v>0</v>
      </c>
      <c r="Q83" s="169">
        <f t="shared" si="22"/>
        <v>0</v>
      </c>
      <c r="R83" s="169">
        <f t="shared" si="22"/>
        <v>0</v>
      </c>
      <c r="S83" s="169">
        <f t="shared" si="22"/>
        <v>0</v>
      </c>
      <c r="T83" s="169">
        <f t="shared" si="22"/>
        <v>0</v>
      </c>
    </row>
    <row r="84" spans="1:20" x14ac:dyDescent="0.2">
      <c r="D84" s="513" t="s">
        <v>607</v>
      </c>
      <c r="E84" s="76">
        <f>$D$73</f>
        <v>7</v>
      </c>
      <c r="F84" s="169"/>
      <c r="G84" s="169"/>
      <c r="H84" s="169"/>
      <c r="I84" s="169"/>
      <c r="J84" s="169"/>
      <c r="K84" s="169"/>
      <c r="L84" s="169"/>
      <c r="M84" s="169"/>
      <c r="N84" s="169"/>
      <c r="O84" s="169"/>
      <c r="P84" s="169"/>
      <c r="Q84" s="169"/>
      <c r="R84" s="169"/>
      <c r="S84" s="169"/>
      <c r="T84" s="169"/>
    </row>
    <row r="85" spans="1:20" x14ac:dyDescent="0.2">
      <c r="B85" t="s">
        <v>274</v>
      </c>
      <c r="D85" s="152" t="s">
        <v>385</v>
      </c>
      <c r="E85" s="169">
        <f ca="1">IF($D$72=0,E37,IF($D$72=1,A64,"error"))</f>
        <v>23779.965131541117</v>
      </c>
      <c r="F85" s="169">
        <f t="shared" ref="F85:T85" ca="1" si="23">$E85*F$73</f>
        <v>3398.1570172972256</v>
      </c>
      <c r="G85" s="169">
        <f t="shared" ca="1" si="23"/>
        <v>5823.7134607144199</v>
      </c>
      <c r="H85" s="169">
        <f t="shared" ca="1" si="23"/>
        <v>4159.1159015065414</v>
      </c>
      <c r="I85" s="169">
        <f t="shared" ca="1" si="23"/>
        <v>2970.1176449294853</v>
      </c>
      <c r="J85" s="169">
        <f t="shared" ca="1" si="23"/>
        <v>2123.5508862466218</v>
      </c>
      <c r="K85" s="169">
        <f t="shared" ca="1" si="23"/>
        <v>2121.1728897334679</v>
      </c>
      <c r="L85" s="169">
        <f t="shared" ca="1" si="23"/>
        <v>2123.5508862466218</v>
      </c>
      <c r="M85" s="169">
        <f t="shared" ca="1" si="23"/>
        <v>1060.5864448667339</v>
      </c>
      <c r="N85" s="169">
        <f t="shared" ca="1" si="23"/>
        <v>0</v>
      </c>
      <c r="O85" s="169">
        <f t="shared" ca="1" si="23"/>
        <v>0</v>
      </c>
      <c r="P85" s="169">
        <f t="shared" ca="1" si="23"/>
        <v>0</v>
      </c>
      <c r="Q85" s="169">
        <f t="shared" ca="1" si="23"/>
        <v>0</v>
      </c>
      <c r="R85" s="169">
        <f t="shared" ca="1" si="23"/>
        <v>0</v>
      </c>
      <c r="S85" s="169">
        <f t="shared" ca="1" si="23"/>
        <v>0</v>
      </c>
      <c r="T85" s="169">
        <f t="shared" ca="1" si="23"/>
        <v>0</v>
      </c>
    </row>
    <row r="86" spans="1:20" x14ac:dyDescent="0.2">
      <c r="D86" s="513" t="s">
        <v>607</v>
      </c>
      <c r="E86" s="76">
        <f>$D$73</f>
        <v>7</v>
      </c>
      <c r="F86" s="169"/>
      <c r="G86" s="169"/>
      <c r="H86" s="169"/>
      <c r="I86" s="169"/>
      <c r="J86" s="169"/>
      <c r="K86" s="169"/>
      <c r="L86" s="169"/>
      <c r="M86" s="169"/>
      <c r="N86" s="169"/>
      <c r="O86" s="169"/>
      <c r="P86" s="169"/>
      <c r="Q86" s="169"/>
      <c r="R86" s="169"/>
      <c r="S86" s="169"/>
      <c r="T86" s="169"/>
    </row>
    <row r="87" spans="1:20" x14ac:dyDescent="0.2">
      <c r="B87" t="s">
        <v>97</v>
      </c>
      <c r="D87" s="513" t="s">
        <v>607</v>
      </c>
      <c r="E87" s="76">
        <f>$D$73</f>
        <v>7</v>
      </c>
      <c r="F87" s="169">
        <f t="shared" ref="F87:L87" si="24">-SUM(F88:F98)</f>
        <v>35.725000000000001</v>
      </c>
      <c r="G87" s="169">
        <f t="shared" si="24"/>
        <v>132.67500000000001</v>
      </c>
      <c r="H87" s="169">
        <f t="shared" si="24"/>
        <v>237.625</v>
      </c>
      <c r="I87" s="169">
        <f t="shared" si="24"/>
        <v>312.57499999999999</v>
      </c>
      <c r="J87" s="169">
        <f t="shared" si="24"/>
        <v>366.125</v>
      </c>
      <c r="K87" s="169">
        <f t="shared" si="24"/>
        <v>410.75</v>
      </c>
      <c r="L87" s="169">
        <f t="shared" si="24"/>
        <v>455.375</v>
      </c>
      <c r="M87" s="169">
        <f>-SUM(M88:M98)</f>
        <v>488.84999999999997</v>
      </c>
      <c r="N87" s="169">
        <f t="shared" ref="N87:T87" si="25">-SUM(N88:N98)</f>
        <v>500</v>
      </c>
      <c r="O87" s="169">
        <f t="shared" si="25"/>
        <v>500</v>
      </c>
      <c r="P87" s="169">
        <f t="shared" si="25"/>
        <v>500</v>
      </c>
      <c r="Q87" s="169">
        <f t="shared" si="25"/>
        <v>428.55</v>
      </c>
      <c r="R87" s="169">
        <f t="shared" si="25"/>
        <v>306.10000000000002</v>
      </c>
      <c r="S87" s="169">
        <f t="shared" si="25"/>
        <v>218.65</v>
      </c>
      <c r="T87" s="169">
        <f t="shared" si="25"/>
        <v>156.20000000000002</v>
      </c>
    </row>
    <row r="88" spans="1:20" hidden="1" outlineLevel="1" x14ac:dyDescent="0.2">
      <c r="D88" s="152"/>
      <c r="E88" s="110">
        <v>2001</v>
      </c>
      <c r="F88" s="169">
        <f>'Cash Flow '!$H$25*F73</f>
        <v>-35.725000000000001</v>
      </c>
      <c r="G88" s="169">
        <f>'Cash Flow '!$H$25*G73</f>
        <v>-61.225000000000001</v>
      </c>
      <c r="H88" s="169">
        <f>'Cash Flow '!$H$25*H73</f>
        <v>-43.725000000000001</v>
      </c>
      <c r="I88" s="169">
        <f>'Cash Flow '!$H$25*I73</f>
        <v>-31.224999999999998</v>
      </c>
      <c r="J88" s="169">
        <f>'Cash Flow '!$H$25*J73</f>
        <v>-22.325000000000003</v>
      </c>
      <c r="K88" s="169">
        <f>'Cash Flow '!$H$25*K73</f>
        <v>-22.3</v>
      </c>
      <c r="L88" s="169">
        <f>'Cash Flow '!$H$25*L73</f>
        <v>-22.325000000000003</v>
      </c>
      <c r="M88" s="169">
        <f>'Cash Flow '!$H$25*M73</f>
        <v>-11.15</v>
      </c>
      <c r="N88" s="169">
        <f>'Cash Flow '!$H$25*N73</f>
        <v>0</v>
      </c>
      <c r="O88" s="169">
        <f>'Cash Flow '!$H$25*O73</f>
        <v>0</v>
      </c>
      <c r="P88" s="169">
        <f>'Cash Flow '!$H$25*P73</f>
        <v>0</v>
      </c>
      <c r="Q88" s="169">
        <f>'Cash Flow '!$H$25*Q73</f>
        <v>0</v>
      </c>
      <c r="R88" s="169">
        <f>'Cash Flow '!$H$25*R73</f>
        <v>0</v>
      </c>
      <c r="S88" s="169">
        <f>'Cash Flow '!$H$25*S73</f>
        <v>0</v>
      </c>
      <c r="T88" s="169">
        <f>'Cash Flow '!$H$25*T73</f>
        <v>0</v>
      </c>
    </row>
    <row r="89" spans="1:20" hidden="1" outlineLevel="1" x14ac:dyDescent="0.2">
      <c r="D89" s="152"/>
      <c r="E89" s="110">
        <f>E88+1</f>
        <v>2002</v>
      </c>
      <c r="F89" s="169"/>
      <c r="G89" s="169">
        <f>'Cash Flow '!$J$25*F73</f>
        <v>-71.45</v>
      </c>
      <c r="H89" s="169">
        <f>'Cash Flow '!$J$25*G73</f>
        <v>-122.45</v>
      </c>
      <c r="I89" s="169">
        <f>'Cash Flow '!$J$25*H73</f>
        <v>-87.45</v>
      </c>
      <c r="J89" s="169">
        <f>'Cash Flow '!$J$25*I73</f>
        <v>-62.449999999999996</v>
      </c>
      <c r="K89" s="169">
        <f>'Cash Flow '!$J$25*J73</f>
        <v>-44.650000000000006</v>
      </c>
      <c r="L89" s="169">
        <f>'Cash Flow '!$J$25*K73</f>
        <v>-44.6</v>
      </c>
      <c r="M89" s="169">
        <f>'Cash Flow '!$J$25*L73</f>
        <v>-44.650000000000006</v>
      </c>
      <c r="N89" s="169">
        <f>'Cash Flow '!$J$25*M73</f>
        <v>-22.3</v>
      </c>
      <c r="O89" s="169">
        <f>'Cash Flow '!$J$25*N73</f>
        <v>0</v>
      </c>
      <c r="P89" s="169">
        <f>'Cash Flow '!$J$25*O73</f>
        <v>0</v>
      </c>
      <c r="Q89" s="169">
        <f>'Cash Flow '!$J$25*P73</f>
        <v>0</v>
      </c>
      <c r="R89" s="169">
        <f>'Cash Flow '!$J$25*Q73</f>
        <v>0</v>
      </c>
      <c r="S89" s="169">
        <f>'Cash Flow '!$J$25*R73</f>
        <v>0</v>
      </c>
      <c r="T89" s="169">
        <f>'Cash Flow '!$J$25*S73</f>
        <v>0</v>
      </c>
    </row>
    <row r="90" spans="1:20" hidden="1" outlineLevel="1" x14ac:dyDescent="0.2">
      <c r="A90" s="138"/>
      <c r="D90" s="152"/>
      <c r="E90" s="110">
        <f>E89+1</f>
        <v>2003</v>
      </c>
      <c r="F90" s="169"/>
      <c r="G90" s="169"/>
      <c r="H90" s="169">
        <f>'Cash Flow '!$K$25*F73</f>
        <v>-71.45</v>
      </c>
      <c r="I90" s="169">
        <f>'Cash Flow '!$K$25*G73</f>
        <v>-122.45</v>
      </c>
      <c r="J90" s="169">
        <f>'Cash Flow '!$K$25*H73</f>
        <v>-87.45</v>
      </c>
      <c r="K90" s="169">
        <f>'Cash Flow '!$K$25*I73</f>
        <v>-62.449999999999996</v>
      </c>
      <c r="L90" s="169">
        <f>'Cash Flow '!$K$25*J73</f>
        <v>-44.650000000000006</v>
      </c>
      <c r="M90" s="169">
        <f>'Cash Flow '!$K$25*K73</f>
        <v>-44.6</v>
      </c>
      <c r="N90" s="169">
        <f>'Cash Flow '!$K$25*L73</f>
        <v>-44.650000000000006</v>
      </c>
      <c r="O90" s="169">
        <f>'Cash Flow '!$K$25*M73</f>
        <v>-22.3</v>
      </c>
      <c r="P90" s="169">
        <f>'Cash Flow '!$K$25*N73</f>
        <v>0</v>
      </c>
      <c r="Q90" s="169">
        <f>'Cash Flow '!$K$25*O73</f>
        <v>0</v>
      </c>
      <c r="R90" s="169">
        <f>'Cash Flow '!$K$25*P73</f>
        <v>0</v>
      </c>
      <c r="S90" s="169">
        <f>'Cash Flow '!$K$25*Q73</f>
        <v>0</v>
      </c>
      <c r="T90" s="169">
        <f>'Cash Flow '!$K$25*R73</f>
        <v>0</v>
      </c>
    </row>
    <row r="91" spans="1:20" hidden="1" outlineLevel="1" x14ac:dyDescent="0.2">
      <c r="A91" s="138"/>
      <c r="C91" s="73"/>
      <c r="D91" s="152"/>
      <c r="E91" s="110">
        <f>E90+1</f>
        <v>2004</v>
      </c>
      <c r="F91" s="169"/>
      <c r="G91" s="169"/>
      <c r="H91" s="169"/>
      <c r="I91" s="169">
        <f>'Cash Flow '!$L$25*F73</f>
        <v>-71.45</v>
      </c>
      <c r="J91" s="169">
        <f>'Cash Flow '!$L$25*G73</f>
        <v>-122.45</v>
      </c>
      <c r="K91" s="169">
        <f>'Cash Flow '!$L$25*H73</f>
        <v>-87.45</v>
      </c>
      <c r="L91" s="169">
        <f>'Cash Flow '!$L$25*I73</f>
        <v>-62.449999999999996</v>
      </c>
      <c r="M91" s="169">
        <f>'Cash Flow '!$L$25*J73</f>
        <v>-44.650000000000006</v>
      </c>
      <c r="N91" s="169">
        <f>'Cash Flow '!$L$25*K73</f>
        <v>-44.6</v>
      </c>
      <c r="O91" s="169">
        <f>'Cash Flow '!$L$25*L73</f>
        <v>-44.650000000000006</v>
      </c>
      <c r="P91" s="169">
        <f>'Cash Flow '!$L$25*M73</f>
        <v>-22.3</v>
      </c>
      <c r="Q91" s="169">
        <f>'Cash Flow '!$L$25*N73</f>
        <v>0</v>
      </c>
      <c r="R91" s="169">
        <f>'Cash Flow '!$L$25*O73</f>
        <v>0</v>
      </c>
      <c r="S91" s="169">
        <f>'Cash Flow '!$L$25*P73</f>
        <v>0</v>
      </c>
      <c r="T91" s="169">
        <f>'Cash Flow '!$L$25*Q73</f>
        <v>0</v>
      </c>
    </row>
    <row r="92" spans="1:20" hidden="1" outlineLevel="1" x14ac:dyDescent="0.2">
      <c r="D92" s="217"/>
      <c r="E92" s="110">
        <f>E91+1</f>
        <v>2005</v>
      </c>
      <c r="F92" s="169"/>
      <c r="G92" s="169"/>
      <c r="H92" s="169"/>
      <c r="I92" s="169"/>
      <c r="J92" s="169">
        <f>'Cash Flow '!$M$25*$F$73</f>
        <v>-71.45</v>
      </c>
      <c r="K92" s="169">
        <f>'Cash Flow '!$M$25*G73</f>
        <v>-122.45</v>
      </c>
      <c r="L92" s="169">
        <f>'Cash Flow '!$M$25*H73</f>
        <v>-87.45</v>
      </c>
      <c r="M92" s="169">
        <f>'Cash Flow '!$M$25*I73</f>
        <v>-62.449999999999996</v>
      </c>
      <c r="N92" s="169">
        <f>'Cash Flow '!$M$25*J73</f>
        <v>-44.650000000000006</v>
      </c>
      <c r="O92" s="169">
        <f>'Cash Flow '!$M$25*K73</f>
        <v>-44.6</v>
      </c>
      <c r="P92" s="169">
        <f>'Cash Flow '!$M$25*L73</f>
        <v>-44.650000000000006</v>
      </c>
      <c r="Q92" s="169">
        <f>'Cash Flow '!$M$25*M73</f>
        <v>-22.3</v>
      </c>
      <c r="R92" s="169">
        <f>'Cash Flow '!$M$25*N73</f>
        <v>0</v>
      </c>
      <c r="S92" s="169">
        <f>'Cash Flow '!$M$25*O73</f>
        <v>0</v>
      </c>
      <c r="T92" s="169">
        <f>'Cash Flow '!$M$25*P73</f>
        <v>0</v>
      </c>
    </row>
    <row r="93" spans="1:20" hidden="1" outlineLevel="1" x14ac:dyDescent="0.2">
      <c r="D93" s="217"/>
      <c r="E93" s="110">
        <f t="shared" ref="E93:E98" si="26">E92+1</f>
        <v>2006</v>
      </c>
      <c r="F93" s="169"/>
      <c r="G93" s="169"/>
      <c r="H93" s="169"/>
      <c r="I93" s="169"/>
      <c r="J93" s="169"/>
      <c r="K93" s="169">
        <f>'Cash Flow '!$M$25*F$73</f>
        <v>-71.45</v>
      </c>
      <c r="L93" s="169">
        <f>'Cash Flow '!$M$25*G$73</f>
        <v>-122.45</v>
      </c>
      <c r="M93" s="169">
        <f>'Cash Flow '!$M$25*H$73</f>
        <v>-87.45</v>
      </c>
      <c r="N93" s="169">
        <f>'Cash Flow '!$M$25*I$73</f>
        <v>-62.449999999999996</v>
      </c>
      <c r="O93" s="169">
        <f>'Cash Flow '!$M$25*J$73</f>
        <v>-44.650000000000006</v>
      </c>
      <c r="P93" s="169">
        <f>'Cash Flow '!$M$25*K$73</f>
        <v>-44.6</v>
      </c>
      <c r="Q93" s="169">
        <f>'Cash Flow '!$M$25*L$73</f>
        <v>-44.650000000000006</v>
      </c>
      <c r="R93" s="169">
        <f>'Cash Flow '!$M$25*M$73</f>
        <v>-22.3</v>
      </c>
      <c r="S93" s="169">
        <f>'Cash Flow '!$M$25*N$73</f>
        <v>0</v>
      </c>
      <c r="T93" s="169">
        <f>'Cash Flow '!$M$25*O$73</f>
        <v>0</v>
      </c>
    </row>
    <row r="94" spans="1:20" hidden="1" outlineLevel="1" x14ac:dyDescent="0.2">
      <c r="D94" s="217"/>
      <c r="E94" s="110">
        <f t="shared" si="26"/>
        <v>2007</v>
      </c>
      <c r="F94" s="169"/>
      <c r="G94" s="169"/>
      <c r="H94" s="169"/>
      <c r="I94" s="169"/>
      <c r="J94" s="169"/>
      <c r="K94" s="169"/>
      <c r="L94" s="169">
        <f>'Cash Flow '!$M$25*F$73</f>
        <v>-71.45</v>
      </c>
      <c r="M94" s="169">
        <f>'Cash Flow '!$M$25*G$73</f>
        <v>-122.45</v>
      </c>
      <c r="N94" s="169">
        <f>'Cash Flow '!$M$25*H$73</f>
        <v>-87.45</v>
      </c>
      <c r="O94" s="169">
        <f>'Cash Flow '!$M$25*I$73</f>
        <v>-62.449999999999996</v>
      </c>
      <c r="P94" s="169">
        <f>'Cash Flow '!$M$25*J$73</f>
        <v>-44.650000000000006</v>
      </c>
      <c r="Q94" s="169">
        <f>'Cash Flow '!$M$25*K$73</f>
        <v>-44.6</v>
      </c>
      <c r="R94" s="169">
        <f>'Cash Flow '!$M$25*L$73</f>
        <v>-44.650000000000006</v>
      </c>
      <c r="S94" s="169">
        <f>'Cash Flow '!$M$25*M$73</f>
        <v>-22.3</v>
      </c>
      <c r="T94" s="169">
        <f>'Cash Flow '!$M$25*N$73</f>
        <v>0</v>
      </c>
    </row>
    <row r="95" spans="1:20" hidden="1" outlineLevel="1" x14ac:dyDescent="0.2">
      <c r="D95" s="217"/>
      <c r="E95" s="110">
        <f t="shared" si="26"/>
        <v>2008</v>
      </c>
      <c r="F95" s="169"/>
      <c r="G95" s="169"/>
      <c r="H95" s="169"/>
      <c r="I95" s="169"/>
      <c r="J95" s="169"/>
      <c r="K95" s="169"/>
      <c r="L95" s="169"/>
      <c r="M95" s="169">
        <f>'Cash Flow '!$M$25*F$73</f>
        <v>-71.45</v>
      </c>
      <c r="N95" s="169">
        <f>'Cash Flow '!$M$25*G$73</f>
        <v>-122.45</v>
      </c>
      <c r="O95" s="169">
        <f>'Cash Flow '!$M$25*H$73</f>
        <v>-87.45</v>
      </c>
      <c r="P95" s="169">
        <f>'Cash Flow '!$M$25*I$73</f>
        <v>-62.449999999999996</v>
      </c>
      <c r="Q95" s="169">
        <f>'Cash Flow '!$M$25*J$73</f>
        <v>-44.650000000000006</v>
      </c>
      <c r="R95" s="169">
        <f>'Cash Flow '!$M$25*K$73</f>
        <v>-44.6</v>
      </c>
      <c r="S95" s="169">
        <f>'Cash Flow '!$M$25*L$73</f>
        <v>-44.650000000000006</v>
      </c>
      <c r="T95" s="169">
        <f>'Cash Flow '!$M$25*M$73</f>
        <v>-22.3</v>
      </c>
    </row>
    <row r="96" spans="1:20" hidden="1" outlineLevel="1" x14ac:dyDescent="0.2">
      <c r="D96" s="217"/>
      <c r="E96" s="110">
        <f t="shared" si="26"/>
        <v>2009</v>
      </c>
      <c r="F96" s="169"/>
      <c r="G96" s="169"/>
      <c r="H96" s="169"/>
      <c r="I96" s="169"/>
      <c r="J96" s="169"/>
      <c r="K96" s="169"/>
      <c r="L96" s="169"/>
      <c r="M96" s="169"/>
      <c r="N96" s="169">
        <f>'Cash Flow '!$M$25*F$73</f>
        <v>-71.45</v>
      </c>
      <c r="O96" s="169">
        <f>'Cash Flow '!$M$25*G$73</f>
        <v>-122.45</v>
      </c>
      <c r="P96" s="169">
        <f>'Cash Flow '!$M$25*H$73</f>
        <v>-87.45</v>
      </c>
      <c r="Q96" s="169">
        <f>'Cash Flow '!$M$25*I$73</f>
        <v>-62.449999999999996</v>
      </c>
      <c r="R96" s="169">
        <f>'Cash Flow '!$M$25*J$73</f>
        <v>-44.650000000000006</v>
      </c>
      <c r="S96" s="169">
        <f>'Cash Flow '!$M$25*K$73</f>
        <v>-44.6</v>
      </c>
      <c r="T96" s="169">
        <f>'Cash Flow '!$M$25*L$73</f>
        <v>-44.650000000000006</v>
      </c>
    </row>
    <row r="97" spans="2:20" hidden="1" outlineLevel="1" x14ac:dyDescent="0.2">
      <c r="D97" s="217"/>
      <c r="E97" s="110">
        <f t="shared" si="26"/>
        <v>2010</v>
      </c>
      <c r="F97" s="169"/>
      <c r="G97" s="169"/>
      <c r="H97" s="169"/>
      <c r="I97" s="169"/>
      <c r="J97" s="169"/>
      <c r="K97" s="169"/>
      <c r="L97" s="169"/>
      <c r="M97" s="169"/>
      <c r="N97" s="169"/>
      <c r="O97" s="169">
        <f>'Cash Flow '!$M$25*F$73</f>
        <v>-71.45</v>
      </c>
      <c r="P97" s="169">
        <f>'Cash Flow '!$M$25*G$73</f>
        <v>-122.45</v>
      </c>
      <c r="Q97" s="169">
        <f>'Cash Flow '!$M$25*H$73</f>
        <v>-87.45</v>
      </c>
      <c r="R97" s="169">
        <f>'Cash Flow '!$M$25*I$73</f>
        <v>-62.449999999999996</v>
      </c>
      <c r="S97" s="169">
        <f>'Cash Flow '!$M$25*J$73</f>
        <v>-44.650000000000006</v>
      </c>
      <c r="T97" s="169">
        <f>'Cash Flow '!$M$25*K$73</f>
        <v>-44.6</v>
      </c>
    </row>
    <row r="98" spans="2:20" hidden="1" outlineLevel="1" x14ac:dyDescent="0.2">
      <c r="D98" s="217"/>
      <c r="E98" s="110">
        <f t="shared" si="26"/>
        <v>2011</v>
      </c>
      <c r="F98" s="169"/>
      <c r="G98" s="169"/>
      <c r="H98" s="169"/>
      <c r="I98" s="169"/>
      <c r="J98" s="169"/>
      <c r="K98" s="169"/>
      <c r="L98" s="169"/>
      <c r="M98" s="169"/>
      <c r="N98" s="169"/>
      <c r="O98" s="169"/>
      <c r="P98" s="169">
        <f>'Cash Flow '!$M$25*F$73</f>
        <v>-71.45</v>
      </c>
      <c r="Q98" s="169">
        <f>'Cash Flow '!$M$25*G$73</f>
        <v>-122.45</v>
      </c>
      <c r="R98" s="169">
        <f>'Cash Flow '!$M$25*H$73</f>
        <v>-87.45</v>
      </c>
      <c r="S98" s="169">
        <f>'Cash Flow '!$M$25*I$73</f>
        <v>-62.449999999999996</v>
      </c>
      <c r="T98" s="169">
        <f>'Cash Flow '!$M$25*J$73</f>
        <v>-44.650000000000006</v>
      </c>
    </row>
    <row r="99" spans="2:20" hidden="1" outlineLevel="1" x14ac:dyDescent="0.2">
      <c r="D99" s="217"/>
      <c r="E99" s="110"/>
      <c r="F99" s="169"/>
      <c r="G99" s="169"/>
      <c r="H99" s="169"/>
      <c r="I99" s="169"/>
      <c r="J99" s="169"/>
      <c r="K99" s="169"/>
      <c r="L99" s="169"/>
      <c r="M99" s="169"/>
      <c r="N99" s="169"/>
      <c r="O99" s="169"/>
      <c r="P99" s="169"/>
      <c r="Q99" s="169"/>
      <c r="R99" s="169"/>
      <c r="S99" s="169"/>
      <c r="T99" s="169"/>
    </row>
    <row r="100" spans="2:20" collapsed="1" x14ac:dyDescent="0.2">
      <c r="D100" s="152"/>
      <c r="E100" s="76"/>
      <c r="F100" s="169"/>
      <c r="G100" s="169"/>
      <c r="H100" s="169"/>
      <c r="I100" s="169"/>
      <c r="J100" s="169"/>
      <c r="K100" s="169"/>
      <c r="L100" s="169"/>
      <c r="M100" s="169"/>
      <c r="N100" s="169"/>
      <c r="O100" s="169"/>
      <c r="P100" s="169"/>
      <c r="Q100" s="169"/>
      <c r="R100" s="169"/>
      <c r="S100" s="169"/>
      <c r="T100" s="169"/>
    </row>
    <row r="101" spans="2:20" x14ac:dyDescent="0.2">
      <c r="B101" t="s">
        <v>388</v>
      </c>
      <c r="C101" s="512"/>
      <c r="D101" s="619" t="s">
        <v>705</v>
      </c>
      <c r="E101" s="169">
        <f ca="1">IF($D$72=0,0,IF($D$72=1,E68,"error"))</f>
        <v>40968.657209831013</v>
      </c>
      <c r="F101" s="169">
        <f ca="1">$E$101/$E$102</f>
        <v>2731.243813988734</v>
      </c>
      <c r="G101" s="169">
        <f t="shared" ref="G101:T101" ca="1" si="27">$E$101/$E$102</f>
        <v>2731.243813988734</v>
      </c>
      <c r="H101" s="169">
        <f t="shared" ca="1" si="27"/>
        <v>2731.243813988734</v>
      </c>
      <c r="I101" s="169">
        <f t="shared" ca="1" si="27"/>
        <v>2731.243813988734</v>
      </c>
      <c r="J101" s="169">
        <f t="shared" ca="1" si="27"/>
        <v>2731.243813988734</v>
      </c>
      <c r="K101" s="169">
        <f t="shared" ca="1" si="27"/>
        <v>2731.243813988734</v>
      </c>
      <c r="L101" s="169">
        <f t="shared" ca="1" si="27"/>
        <v>2731.243813988734</v>
      </c>
      <c r="M101" s="169">
        <f t="shared" ca="1" si="27"/>
        <v>2731.243813988734</v>
      </c>
      <c r="N101" s="169">
        <f t="shared" ca="1" si="27"/>
        <v>2731.243813988734</v>
      </c>
      <c r="O101" s="169">
        <f t="shared" ca="1" si="27"/>
        <v>2731.243813988734</v>
      </c>
      <c r="P101" s="169">
        <f t="shared" ca="1" si="27"/>
        <v>2731.243813988734</v>
      </c>
      <c r="Q101" s="169">
        <f t="shared" ca="1" si="27"/>
        <v>2731.243813988734</v>
      </c>
      <c r="R101" s="169">
        <f t="shared" ca="1" si="27"/>
        <v>2731.243813988734</v>
      </c>
      <c r="S101" s="169">
        <f t="shared" ca="1" si="27"/>
        <v>2731.243813988734</v>
      </c>
      <c r="T101" s="169">
        <f t="shared" ca="1" si="27"/>
        <v>2731.243813988734</v>
      </c>
    </row>
    <row r="102" spans="2:20" x14ac:dyDescent="0.2">
      <c r="D102" s="619" t="s">
        <v>706</v>
      </c>
      <c r="E102" s="76">
        <v>15</v>
      </c>
      <c r="F102" s="169"/>
      <c r="G102" s="169"/>
      <c r="H102" s="169"/>
      <c r="I102" s="169"/>
      <c r="J102" s="169"/>
      <c r="K102" s="169"/>
      <c r="L102" s="169"/>
      <c r="M102" s="169"/>
      <c r="N102" s="169"/>
      <c r="O102" s="169"/>
      <c r="P102" s="169"/>
      <c r="Q102" s="169"/>
      <c r="R102" s="169"/>
      <c r="S102" s="169"/>
      <c r="T102" s="169"/>
    </row>
    <row r="103" spans="2:20" x14ac:dyDescent="0.2">
      <c r="B103" t="s">
        <v>275</v>
      </c>
      <c r="D103" s="151"/>
      <c r="E103" s="169"/>
      <c r="F103" s="169">
        <f ca="1">SUM(F77:F87)+F101</f>
        <v>14159.800446278654</v>
      </c>
      <c r="G103" s="169">
        <f t="shared" ref="G103:P103" ca="1" si="28">SUM(G77:G87)+G101</f>
        <v>22388.792619081818</v>
      </c>
      <c r="H103" s="169">
        <f t="shared" ca="1" si="28"/>
        <v>16912.929363236508</v>
      </c>
      <c r="I103" s="169">
        <f t="shared" ca="1" si="28"/>
        <v>13001.584180489861</v>
      </c>
      <c r="J103" s="169">
        <f t="shared" ca="1" si="28"/>
        <v>10216.892010374248</v>
      </c>
      <c r="K103" s="169">
        <f t="shared" ca="1" si="28"/>
        <v>10253.544420008755</v>
      </c>
      <c r="L103" s="169">
        <f t="shared" ca="1" si="28"/>
        <v>10306.142010374248</v>
      </c>
      <c r="M103" s="169">
        <f t="shared" ca="1" si="28"/>
        <v>6775.8691169987451</v>
      </c>
      <c r="N103" s="169">
        <f t="shared" ca="1" si="28"/>
        <v>3231.243813988734</v>
      </c>
      <c r="O103" s="169">
        <f t="shared" ca="1" si="28"/>
        <v>3231.243813988734</v>
      </c>
      <c r="P103" s="169">
        <f t="shared" ca="1" si="28"/>
        <v>3231.243813988734</v>
      </c>
      <c r="Q103" s="169">
        <f ca="1">SUM(Q77:Q87)+Q101</f>
        <v>3159.7938139887342</v>
      </c>
      <c r="R103" s="169">
        <f ca="1">SUM(R77:R87)+R101</f>
        <v>3037.3438139887339</v>
      </c>
      <c r="S103" s="169">
        <f ca="1">SUM(S77:S87)+S101</f>
        <v>2949.8938139887341</v>
      </c>
      <c r="T103" s="169">
        <f ca="1">SUM(T77:T87)+T101</f>
        <v>2887.4438139887338</v>
      </c>
    </row>
    <row r="104" spans="2:20" x14ac:dyDescent="0.2">
      <c r="E104" s="76"/>
      <c r="F104" s="76"/>
      <c r="G104" s="76"/>
      <c r="H104" s="76"/>
      <c r="I104" s="76"/>
      <c r="J104" s="76"/>
      <c r="K104" s="76"/>
      <c r="L104" s="76"/>
      <c r="M104" s="76"/>
      <c r="N104" s="76"/>
      <c r="O104" s="76"/>
      <c r="P104" s="76"/>
      <c r="Q104" s="76"/>
      <c r="R104" s="76"/>
      <c r="S104" s="76"/>
      <c r="T104" s="76"/>
    </row>
    <row r="105" spans="2:20" x14ac:dyDescent="0.2">
      <c r="B105" t="s">
        <v>284</v>
      </c>
      <c r="E105" s="76"/>
      <c r="F105" s="76">
        <f t="shared" ref="F105:T105" ca="1" si="29">F103-F66-F52-F68</f>
        <v>10469.720560868447</v>
      </c>
      <c r="G105" s="76">
        <f t="shared" ca="1" si="29"/>
        <v>18682.046067004943</v>
      </c>
      <c r="H105" s="76">
        <f t="shared" ca="1" si="29"/>
        <v>13189.516144492969</v>
      </c>
      <c r="I105" s="76">
        <f t="shared" ca="1" si="29"/>
        <v>9261.5042950796542</v>
      </c>
      <c r="J105" s="76">
        <f t="shared" ca="1" si="29"/>
        <v>6460.1454582973747</v>
      </c>
      <c r="K105" s="76">
        <f t="shared" ca="1" si="29"/>
        <v>6480.1312012652143</v>
      </c>
      <c r="L105" s="76">
        <f t="shared" ca="1" si="29"/>
        <v>6516.0621249640408</v>
      </c>
      <c r="M105" s="76">
        <f t="shared" ca="1" si="29"/>
        <v>2969.1225649218713</v>
      </c>
      <c r="N105" s="76">
        <f t="shared" ca="1" si="29"/>
        <v>-592.16940475480669</v>
      </c>
      <c r="O105" s="76">
        <f t="shared" ca="1" si="29"/>
        <v>-608.83607142147343</v>
      </c>
      <c r="P105" s="76">
        <f t="shared" ca="1" si="29"/>
        <v>-625.50273808814018</v>
      </c>
      <c r="Q105" s="76">
        <f t="shared" ca="1" si="29"/>
        <v>-696.95273808813999</v>
      </c>
      <c r="R105" s="76">
        <f t="shared" ca="1" si="29"/>
        <v>-819.40273808814027</v>
      </c>
      <c r="S105" s="76">
        <f t="shared" ca="1" si="29"/>
        <v>-906.85273808814009</v>
      </c>
      <c r="T105" s="76">
        <f t="shared" ca="1" si="29"/>
        <v>-969.30273808814036</v>
      </c>
    </row>
    <row r="106" spans="2:20" x14ac:dyDescent="0.2">
      <c r="B106" t="s">
        <v>709</v>
      </c>
      <c r="E106" s="76"/>
      <c r="F106" s="76">
        <f ca="1">F105*Assumptions!$B$8</f>
        <v>3664.4021963039563</v>
      </c>
      <c r="G106" s="76">
        <f ca="1">G105*Assumptions!$B$8</f>
        <v>6538.7161234517298</v>
      </c>
      <c r="H106" s="76">
        <f ca="1">H105*Assumptions!$B$8</f>
        <v>4616.3306505725386</v>
      </c>
      <c r="I106" s="76">
        <f ca="1">I105*Assumptions!$B$8</f>
        <v>3241.5265032778789</v>
      </c>
      <c r="J106" s="76">
        <f ca="1">J105*Assumptions!$B$8</f>
        <v>2261.0509104040812</v>
      </c>
      <c r="K106" s="76">
        <f ca="1">K105*Assumptions!$B$8</f>
        <v>2268.0459204428248</v>
      </c>
      <c r="L106" s="76">
        <f ca="1">L105*Assumptions!$B$8</f>
        <v>2280.6217437374139</v>
      </c>
      <c r="M106" s="76">
        <f ca="1">M105*Assumptions!$B$8</f>
        <v>1039.1928977226548</v>
      </c>
      <c r="N106" s="76">
        <f ca="1">N105*Assumptions!$B$8</f>
        <v>-207.25929166418234</v>
      </c>
      <c r="O106" s="76">
        <f ca="1">O105*Assumptions!$B$8</f>
        <v>-213.09262499751568</v>
      </c>
      <c r="P106" s="76">
        <f ca="1">P105*Assumptions!$B$8</f>
        <v>-218.92595833084906</v>
      </c>
      <c r="Q106" s="76">
        <f ca="1">Q105*Assumptions!$B$8</f>
        <v>-243.93345833084899</v>
      </c>
      <c r="R106" s="76">
        <f ca="1">R105*Assumptions!$B$8</f>
        <v>-286.79095833084909</v>
      </c>
      <c r="S106" s="76">
        <f ca="1">S105*Assumptions!$B$8</f>
        <v>-317.398458330849</v>
      </c>
      <c r="T106" s="76">
        <f ca="1">T105*Assumptions!$B$8</f>
        <v>-339.25595833084913</v>
      </c>
    </row>
    <row r="107" spans="2:20" x14ac:dyDescent="0.2">
      <c r="B107" t="s">
        <v>707</v>
      </c>
      <c r="E107" s="213">
        <f ca="1">NPV(0.1,F103:T103)*(35%)</f>
        <v>28226.665638170813</v>
      </c>
    </row>
    <row r="108" spans="2:20" x14ac:dyDescent="0.2">
      <c r="B108" t="s">
        <v>846</v>
      </c>
      <c r="E108" s="213">
        <f ca="1">E107-7734</f>
        <v>20492.665638170813</v>
      </c>
    </row>
    <row r="110" spans="2:20" x14ac:dyDescent="0.2">
      <c r="B110" s="139" t="s">
        <v>594</v>
      </c>
      <c r="C110" s="142"/>
      <c r="D110" s="142"/>
      <c r="E110" s="142"/>
      <c r="F110" s="430">
        <f ca="1">+F31+(F39/2)+F58</f>
        <v>933.61586659049408</v>
      </c>
      <c r="G110" s="430">
        <f t="shared" ref="G110:P110" ca="1" si="30">+G31+(G39/2)+G58</f>
        <v>941.94919992382734</v>
      </c>
      <c r="H110" s="430">
        <f t="shared" ca="1" si="30"/>
        <v>950.28253325716071</v>
      </c>
      <c r="I110" s="430">
        <f t="shared" ca="1" si="30"/>
        <v>958.61586659049408</v>
      </c>
      <c r="J110" s="430">
        <f t="shared" ca="1" si="30"/>
        <v>966.94919992382734</v>
      </c>
      <c r="K110" s="430">
        <f t="shared" ca="1" si="30"/>
        <v>975.28253325716071</v>
      </c>
      <c r="L110" s="430">
        <f t="shared" ca="1" si="30"/>
        <v>983.61586659049408</v>
      </c>
      <c r="M110" s="430">
        <f t="shared" ca="1" si="30"/>
        <v>991.94919992382734</v>
      </c>
      <c r="N110" s="430">
        <f t="shared" ca="1" si="30"/>
        <v>1000.2825332571607</v>
      </c>
      <c r="O110" s="430">
        <f t="shared" ca="1" si="30"/>
        <v>1008.6158665904941</v>
      </c>
      <c r="P110" s="431">
        <f t="shared" ca="1" si="30"/>
        <v>1016.9491999238273</v>
      </c>
    </row>
    <row r="111" spans="2:20" ht="15" x14ac:dyDescent="0.35">
      <c r="B111" s="157" t="s">
        <v>595</v>
      </c>
      <c r="C111" s="110"/>
      <c r="D111" s="110"/>
      <c r="E111" s="110"/>
      <c r="F111" s="432">
        <f ca="1">+F79+(F87/2)</f>
        <v>4002.411220073448</v>
      </c>
      <c r="G111" s="432">
        <f ca="1">+G79+(G87/2)</f>
        <v>6895.0007718403594</v>
      </c>
      <c r="H111" s="432">
        <f t="shared" ref="H111:P111" ca="1" si="31">+H79+(H87/2)</f>
        <v>4995.6324520003218</v>
      </c>
      <c r="I111" s="432">
        <f t="shared" ca="1" si="31"/>
        <v>3638.933652114581</v>
      </c>
      <c r="J111" s="432">
        <f t="shared" ca="1" si="31"/>
        <v>2673.0569065959335</v>
      </c>
      <c r="K111" s="432">
        <f t="shared" ca="1" si="31"/>
        <v>2692.581058996162</v>
      </c>
      <c r="L111" s="432">
        <f t="shared" ca="1" si="31"/>
        <v>2717.6819065959335</v>
      </c>
      <c r="M111" s="432">
        <f t="shared" ca="1" si="31"/>
        <v>1488.028029498081</v>
      </c>
      <c r="N111" s="432">
        <f t="shared" ca="1" si="31"/>
        <v>250</v>
      </c>
      <c r="O111" s="432">
        <f t="shared" ca="1" si="31"/>
        <v>250</v>
      </c>
      <c r="P111" s="433">
        <f t="shared" ca="1" si="31"/>
        <v>250</v>
      </c>
    </row>
    <row r="112" spans="2:20" x14ac:dyDescent="0.2">
      <c r="B112" s="157" t="s">
        <v>596</v>
      </c>
      <c r="C112" s="110"/>
      <c r="D112" s="110"/>
      <c r="E112" s="110"/>
      <c r="F112" s="257">
        <f ca="1">+F111-F110</f>
        <v>3068.7953534829539</v>
      </c>
      <c r="G112" s="257">
        <f t="shared" ref="G112:P112" ca="1" si="32">+G111-G110</f>
        <v>5953.0515719165323</v>
      </c>
      <c r="H112" s="257">
        <f t="shared" ca="1" si="32"/>
        <v>4045.3499187431612</v>
      </c>
      <c r="I112" s="257">
        <f t="shared" ca="1" si="32"/>
        <v>2680.317785524087</v>
      </c>
      <c r="J112" s="257">
        <f t="shared" ca="1" si="32"/>
        <v>1706.1077066721061</v>
      </c>
      <c r="K112" s="257">
        <f t="shared" ca="1" si="32"/>
        <v>1717.2985257390014</v>
      </c>
      <c r="L112" s="257">
        <f t="shared" ca="1" si="32"/>
        <v>1734.0660400054394</v>
      </c>
      <c r="M112" s="257">
        <f t="shared" ca="1" si="32"/>
        <v>496.07882957425363</v>
      </c>
      <c r="N112" s="257">
        <f t="shared" ca="1" si="32"/>
        <v>-750.28253325716071</v>
      </c>
      <c r="O112" s="257">
        <f t="shared" ca="1" si="32"/>
        <v>-758.61586659049408</v>
      </c>
      <c r="P112" s="434">
        <f t="shared" ca="1" si="32"/>
        <v>-766.94919992382734</v>
      </c>
    </row>
    <row r="113" spans="2:16" x14ac:dyDescent="0.2">
      <c r="B113" s="147" t="s">
        <v>285</v>
      </c>
      <c r="C113" s="134"/>
      <c r="D113" s="134"/>
      <c r="E113" s="134"/>
      <c r="F113" s="435">
        <f ca="1">+F112*Assumptions!$B$8</f>
        <v>1074.0783737190338</v>
      </c>
      <c r="G113" s="435">
        <f ca="1">+G112*Assumptions!$B$8</f>
        <v>2083.5680501707861</v>
      </c>
      <c r="H113" s="435">
        <f ca="1">+H112*Assumptions!$B$8</f>
        <v>1415.8724715601063</v>
      </c>
      <c r="I113" s="435">
        <f ca="1">+I112*Assumptions!$B$8</f>
        <v>938.11122493343032</v>
      </c>
      <c r="J113" s="435">
        <f ca="1">+J112*Assumptions!$B$8</f>
        <v>597.13769733523714</v>
      </c>
      <c r="K113" s="435">
        <f ca="1">+K112*Assumptions!$B$8</f>
        <v>601.05448400865043</v>
      </c>
      <c r="L113" s="435">
        <f ca="1">+L112*Assumptions!$B$8</f>
        <v>606.92311400190374</v>
      </c>
      <c r="M113" s="435">
        <f ca="1">+M112*Assumptions!$B$8</f>
        <v>173.62759035098875</v>
      </c>
      <c r="N113" s="435">
        <f ca="1">+N112*Assumptions!$B$8</f>
        <v>-262.59888664000624</v>
      </c>
      <c r="O113" s="435">
        <f ca="1">+O112*Assumptions!$B$8</f>
        <v>-265.51555330667293</v>
      </c>
      <c r="P113" s="436">
        <f ca="1">+P112*Assumptions!$B$8</f>
        <v>-268.43221997333956</v>
      </c>
    </row>
    <row r="115" spans="2:16" x14ac:dyDescent="0.2">
      <c r="B115" s="139" t="s">
        <v>597</v>
      </c>
      <c r="C115" s="142"/>
      <c r="D115" s="142"/>
      <c r="E115" s="142"/>
      <c r="F115" s="430">
        <f ca="1">+F33+(F39/2)+F60</f>
        <v>809.02875085590063</v>
      </c>
      <c r="G115" s="430">
        <f t="shared" ref="G115:P115" ca="1" si="33">+G33+(G39/2)+G60</f>
        <v>817.362084189234</v>
      </c>
      <c r="H115" s="430">
        <f t="shared" ca="1" si="33"/>
        <v>825.69541752256737</v>
      </c>
      <c r="I115" s="430">
        <f t="shared" ca="1" si="33"/>
        <v>834.02875085590063</v>
      </c>
      <c r="J115" s="430">
        <f t="shared" ca="1" si="33"/>
        <v>842.362084189234</v>
      </c>
      <c r="K115" s="430">
        <f t="shared" ca="1" si="33"/>
        <v>850.69541752256737</v>
      </c>
      <c r="L115" s="430">
        <f t="shared" ca="1" si="33"/>
        <v>859.02875085590063</v>
      </c>
      <c r="M115" s="430">
        <f t="shared" ca="1" si="33"/>
        <v>867.362084189234</v>
      </c>
      <c r="N115" s="430">
        <f t="shared" ca="1" si="33"/>
        <v>875.69541752256737</v>
      </c>
      <c r="O115" s="430">
        <f t="shared" ca="1" si="33"/>
        <v>884.02875085590063</v>
      </c>
      <c r="P115" s="431">
        <f t="shared" ca="1" si="33"/>
        <v>892.362084189234</v>
      </c>
    </row>
    <row r="116" spans="2:16" ht="15" x14ac:dyDescent="0.35">
      <c r="B116" s="157" t="s">
        <v>598</v>
      </c>
      <c r="C116" s="110"/>
      <c r="D116" s="110"/>
      <c r="E116" s="110"/>
      <c r="F116" s="432">
        <f ca="1">+F81+(F87/2)</f>
        <v>3468.3062549192464</v>
      </c>
      <c r="G116" s="432">
        <f t="shared" ref="G116:P116" ca="1" si="34">+G81+(G87/2)</f>
        <v>5979.6592325383026</v>
      </c>
      <c r="H116" s="432">
        <f t="shared" ca="1" si="34"/>
        <v>4341.9238557409108</v>
      </c>
      <c r="I116" s="432">
        <f t="shared" ca="1" si="34"/>
        <v>3172.1057294570596</v>
      </c>
      <c r="J116" s="432">
        <f t="shared" ca="1" si="34"/>
        <v>2339.2880235429579</v>
      </c>
      <c r="K116" s="432">
        <f t="shared" ca="1" si="34"/>
        <v>2359.1859372903905</v>
      </c>
      <c r="L116" s="432">
        <f t="shared" ca="1" si="34"/>
        <v>2383.9130235429579</v>
      </c>
      <c r="M116" s="432">
        <f t="shared" ca="1" si="34"/>
        <v>1321.3304686451952</v>
      </c>
      <c r="N116" s="432">
        <f t="shared" ca="1" si="34"/>
        <v>250</v>
      </c>
      <c r="O116" s="432">
        <f t="shared" ca="1" si="34"/>
        <v>250</v>
      </c>
      <c r="P116" s="433">
        <f t="shared" ca="1" si="34"/>
        <v>250</v>
      </c>
    </row>
    <row r="117" spans="2:16" x14ac:dyDescent="0.2">
      <c r="B117" s="157" t="s">
        <v>596</v>
      </c>
      <c r="C117" s="110"/>
      <c r="D117" s="110"/>
      <c r="E117" s="110"/>
      <c r="F117" s="257">
        <f ca="1">+F116-F115</f>
        <v>2659.277504063346</v>
      </c>
      <c r="G117" s="257">
        <f t="shared" ref="G117:P117" ca="1" si="35">+G116-G115</f>
        <v>5162.2971483490683</v>
      </c>
      <c r="H117" s="257">
        <f t="shared" ca="1" si="35"/>
        <v>3516.2284382183434</v>
      </c>
      <c r="I117" s="257">
        <f t="shared" ca="1" si="35"/>
        <v>2338.0769786011588</v>
      </c>
      <c r="J117" s="257">
        <f t="shared" ca="1" si="35"/>
        <v>1496.9259393537241</v>
      </c>
      <c r="K117" s="257">
        <f t="shared" ca="1" si="35"/>
        <v>1508.4905197678231</v>
      </c>
      <c r="L117" s="257">
        <f t="shared" ca="1" si="35"/>
        <v>1524.8842726870573</v>
      </c>
      <c r="M117" s="257">
        <f t="shared" ca="1" si="35"/>
        <v>453.9683844559612</v>
      </c>
      <c r="N117" s="257">
        <f t="shared" ca="1" si="35"/>
        <v>-625.69541752256737</v>
      </c>
      <c r="O117" s="257">
        <f t="shared" ca="1" si="35"/>
        <v>-634.02875085590063</v>
      </c>
      <c r="P117" s="434">
        <f t="shared" ca="1" si="35"/>
        <v>-642.362084189234</v>
      </c>
    </row>
    <row r="118" spans="2:16" x14ac:dyDescent="0.2">
      <c r="B118" s="147" t="s">
        <v>285</v>
      </c>
      <c r="C118" s="134"/>
      <c r="D118" s="134"/>
      <c r="E118" s="134"/>
      <c r="F118" s="435">
        <f ca="1">+F117*Assumptions!$B$8</f>
        <v>930.74712642217105</v>
      </c>
      <c r="G118" s="435">
        <f ca="1">+G117*Assumptions!$B$8</f>
        <v>1806.8040019221737</v>
      </c>
      <c r="H118" s="435">
        <f ca="1">+H117*Assumptions!$B$8</f>
        <v>1230.6799533764201</v>
      </c>
      <c r="I118" s="435">
        <f ca="1">+I117*Assumptions!$B$8</f>
        <v>818.3269425104055</v>
      </c>
      <c r="J118" s="435">
        <f ca="1">+J117*Assumptions!$B$8</f>
        <v>523.92407877380344</v>
      </c>
      <c r="K118" s="435">
        <f ca="1">+K117*Assumptions!$B$8</f>
        <v>527.97168191873811</v>
      </c>
      <c r="L118" s="435">
        <f ca="1">+L117*Assumptions!$B$8</f>
        <v>533.70949544047005</v>
      </c>
      <c r="M118" s="435">
        <f ca="1">+M117*Assumptions!$B$8</f>
        <v>158.8889345595864</v>
      </c>
      <c r="N118" s="435">
        <f ca="1">+N117*Assumptions!$B$8</f>
        <v>-218.99339613289857</v>
      </c>
      <c r="O118" s="435">
        <f ca="1">+O117*Assumptions!$B$8</f>
        <v>-221.9100627995652</v>
      </c>
      <c r="P118" s="436">
        <f ca="1">+P117*Assumptions!$B$8</f>
        <v>-224.82672946623188</v>
      </c>
    </row>
    <row r="120" spans="2:16" x14ac:dyDescent="0.2">
      <c r="B120" s="139" t="s">
        <v>779</v>
      </c>
      <c r="C120" s="142"/>
      <c r="D120" s="142"/>
      <c r="E120" s="142"/>
      <c r="F120" s="443">
        <f ca="1">F37+F64</f>
        <v>792.66550438470392</v>
      </c>
      <c r="G120" s="443">
        <f t="shared" ref="G120:P120" ca="1" si="36">G37+G64</f>
        <v>792.66550438470392</v>
      </c>
      <c r="H120" s="443">
        <f t="shared" ca="1" si="36"/>
        <v>792.66550438470392</v>
      </c>
      <c r="I120" s="443">
        <f t="shared" ca="1" si="36"/>
        <v>792.66550438470392</v>
      </c>
      <c r="J120" s="443">
        <f t="shared" ca="1" si="36"/>
        <v>792.66550438470392</v>
      </c>
      <c r="K120" s="443">
        <f t="shared" ca="1" si="36"/>
        <v>792.66550438470392</v>
      </c>
      <c r="L120" s="443">
        <f t="shared" ca="1" si="36"/>
        <v>792.66550438470392</v>
      </c>
      <c r="M120" s="443">
        <f t="shared" ca="1" si="36"/>
        <v>792.66550438470392</v>
      </c>
      <c r="N120" s="443">
        <f t="shared" ca="1" si="36"/>
        <v>792.66550438470392</v>
      </c>
      <c r="O120" s="443">
        <f t="shared" ca="1" si="36"/>
        <v>792.66550438470392</v>
      </c>
      <c r="P120" s="632">
        <f t="shared" ca="1" si="36"/>
        <v>792.66550438470392</v>
      </c>
    </row>
    <row r="121" spans="2:16" ht="15" x14ac:dyDescent="0.35">
      <c r="B121" s="157" t="s">
        <v>780</v>
      </c>
      <c r="C121" s="110"/>
      <c r="D121" s="110"/>
      <c r="E121" s="110"/>
      <c r="F121" s="444">
        <f ca="1">F85</f>
        <v>3398.1570172972256</v>
      </c>
      <c r="G121" s="444">
        <f t="shared" ref="G121:P121" ca="1" si="37">G85</f>
        <v>5823.7134607144199</v>
      </c>
      <c r="H121" s="444">
        <f t="shared" ca="1" si="37"/>
        <v>4159.1159015065414</v>
      </c>
      <c r="I121" s="444">
        <f t="shared" ca="1" si="37"/>
        <v>2970.1176449294853</v>
      </c>
      <c r="J121" s="444">
        <f t="shared" ca="1" si="37"/>
        <v>2123.5508862466218</v>
      </c>
      <c r="K121" s="444">
        <f t="shared" ca="1" si="37"/>
        <v>2121.1728897334679</v>
      </c>
      <c r="L121" s="444">
        <f t="shared" ca="1" si="37"/>
        <v>2123.5508862466218</v>
      </c>
      <c r="M121" s="444">
        <f t="shared" ca="1" si="37"/>
        <v>1060.5864448667339</v>
      </c>
      <c r="N121" s="444">
        <f t="shared" ca="1" si="37"/>
        <v>0</v>
      </c>
      <c r="O121" s="444">
        <f t="shared" ca="1" si="37"/>
        <v>0</v>
      </c>
      <c r="P121" s="253">
        <f t="shared" ca="1" si="37"/>
        <v>0</v>
      </c>
    </row>
    <row r="122" spans="2:16" x14ac:dyDescent="0.2">
      <c r="B122" s="157" t="s">
        <v>596</v>
      </c>
      <c r="C122" s="110"/>
      <c r="D122" s="110"/>
      <c r="E122" s="110"/>
      <c r="F122" s="254">
        <f ca="1">+F121-F120</f>
        <v>2605.4915129125216</v>
      </c>
      <c r="G122" s="254">
        <f t="shared" ref="G122:P122" ca="1" si="38">+G121-G120</f>
        <v>5031.0479563297158</v>
      </c>
      <c r="H122" s="254">
        <f t="shared" ca="1" si="38"/>
        <v>3366.4503971218373</v>
      </c>
      <c r="I122" s="254">
        <f t="shared" ca="1" si="38"/>
        <v>2177.4521405447813</v>
      </c>
      <c r="J122" s="254">
        <f t="shared" ca="1" si="38"/>
        <v>1330.8853818619177</v>
      </c>
      <c r="K122" s="254">
        <f t="shared" ca="1" si="38"/>
        <v>1328.5073853487638</v>
      </c>
      <c r="L122" s="254">
        <f t="shared" ca="1" si="38"/>
        <v>1330.8853818619177</v>
      </c>
      <c r="M122" s="254">
        <f t="shared" ca="1" si="38"/>
        <v>267.92094048203001</v>
      </c>
      <c r="N122" s="254">
        <f t="shared" ca="1" si="38"/>
        <v>-792.66550438470392</v>
      </c>
      <c r="O122" s="254">
        <f t="shared" ca="1" si="38"/>
        <v>-792.66550438470392</v>
      </c>
      <c r="P122" s="251">
        <f t="shared" ca="1" si="38"/>
        <v>-792.66550438470392</v>
      </c>
    </row>
    <row r="123" spans="2:16" x14ac:dyDescent="0.2">
      <c r="B123" s="147" t="s">
        <v>285</v>
      </c>
      <c r="C123" s="134"/>
      <c r="D123" s="134"/>
      <c r="E123" s="134"/>
      <c r="F123" s="442">
        <f ca="1">+F122*Assumptions!$B$8</f>
        <v>911.92202951938248</v>
      </c>
      <c r="G123" s="442">
        <f ca="1">+G122*Assumptions!$B$8</f>
        <v>1760.8667847154004</v>
      </c>
      <c r="H123" s="442">
        <f ca="1">+H122*Assumptions!$B$8</f>
        <v>1178.257638992643</v>
      </c>
      <c r="I123" s="442">
        <f ca="1">+I122*Assumptions!$B$8</f>
        <v>762.1082491906734</v>
      </c>
      <c r="J123" s="442">
        <f ca="1">+J122*Assumptions!$B$8</f>
        <v>465.80988365167116</v>
      </c>
      <c r="K123" s="442">
        <f ca="1">+K122*Assumptions!$B$8</f>
        <v>464.97758487206733</v>
      </c>
      <c r="L123" s="442">
        <f ca="1">+L122*Assumptions!$B$8</f>
        <v>465.80988365167116</v>
      </c>
      <c r="M123" s="442">
        <f ca="1">+M122*Assumptions!$B$8</f>
        <v>93.772329168710499</v>
      </c>
      <c r="N123" s="442">
        <f ca="1">+N122*Assumptions!$B$8</f>
        <v>-277.43292653464636</v>
      </c>
      <c r="O123" s="442">
        <f ca="1">+O122*Assumptions!$B$8</f>
        <v>-277.43292653464636</v>
      </c>
      <c r="P123" s="529">
        <f ca="1">+P122*Assumptions!$B$8</f>
        <v>-277.43292653464636</v>
      </c>
    </row>
    <row r="125" spans="2:16" x14ac:dyDescent="0.2">
      <c r="F125" s="429"/>
      <c r="G125" s="429"/>
      <c r="H125" s="429"/>
    </row>
  </sheetData>
  <mergeCells count="1">
    <mergeCell ref="E71:E72"/>
  </mergeCells>
  <printOptions horizontalCentered="1"/>
  <pageMargins left="0.25" right="0.25" top="0.51" bottom="0.5" header="0.5" footer="0.5"/>
  <pageSetup scale="54" orientation="landscape" verticalDpi="2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125"/>
  <sheetViews>
    <sheetView showGridLines="0" view="pageBreakPreview" zoomScale="60" zoomScaleNormal="75" workbookViewId="0">
      <selection activeCell="J4" sqref="J4"/>
    </sheetView>
  </sheetViews>
  <sheetFormatPr defaultRowHeight="12.75" x14ac:dyDescent="0.2"/>
  <cols>
    <col min="2" max="2" width="17.7109375" customWidth="1"/>
    <col min="4" max="4" width="13.7109375" customWidth="1"/>
    <col min="5" max="5" width="11.28515625" bestFit="1" customWidth="1"/>
    <col min="6" max="6" width="11.85546875" bestFit="1" customWidth="1"/>
    <col min="7" max="7" width="12.28515625" bestFit="1" customWidth="1"/>
    <col min="8" max="8" width="11.5703125" bestFit="1" customWidth="1"/>
    <col min="9" max="9" width="11.28515625" customWidth="1"/>
    <col min="10" max="10" width="13" customWidth="1"/>
    <col min="11" max="14" width="12" bestFit="1" customWidth="1"/>
  </cols>
  <sheetData>
    <row r="2" spans="2:14" x14ac:dyDescent="0.2">
      <c r="B2" s="80" t="s">
        <v>242</v>
      </c>
      <c r="E2" s="69">
        <v>1998</v>
      </c>
      <c r="F2" s="69">
        <v>1999</v>
      </c>
      <c r="G2" s="69">
        <v>2000</v>
      </c>
      <c r="K2" s="69">
        <v>1998</v>
      </c>
      <c r="L2" s="69">
        <v>1999</v>
      </c>
      <c r="M2" s="69">
        <v>2000</v>
      </c>
    </row>
    <row r="3" spans="2:14" x14ac:dyDescent="0.2">
      <c r="B3" s="80" t="s">
        <v>241</v>
      </c>
      <c r="E3" s="65"/>
      <c r="F3" s="65"/>
      <c r="G3" s="65"/>
    </row>
    <row r="4" spans="2:14" x14ac:dyDescent="0.2">
      <c r="B4" s="65" t="s">
        <v>250</v>
      </c>
      <c r="E4" s="65">
        <f>+E8/0.04</f>
        <v>122250</v>
      </c>
      <c r="F4" s="65">
        <f>+F8/0.02</f>
        <v>28800</v>
      </c>
      <c r="G4" s="65">
        <f>+G8/0.02</f>
        <v>35150</v>
      </c>
      <c r="I4" t="s">
        <v>354</v>
      </c>
      <c r="K4" s="65">
        <f>+E4*$T$25</f>
        <v>19091.095890410958</v>
      </c>
      <c r="L4" s="65">
        <f>+F4*$T$25</f>
        <v>4497.534246575342</v>
      </c>
      <c r="M4" s="65">
        <f>+G4*$T$25</f>
        <v>5489.178082191781</v>
      </c>
    </row>
    <row r="5" spans="2:14" ht="15" x14ac:dyDescent="0.35">
      <c r="B5" s="65" t="s">
        <v>251</v>
      </c>
      <c r="E5" s="78">
        <f>+E4*0.96</f>
        <v>117360</v>
      </c>
      <c r="F5" s="78">
        <f>+F4*0.98</f>
        <v>28224</v>
      </c>
      <c r="G5" s="78">
        <f>+G4*0.98</f>
        <v>34447</v>
      </c>
      <c r="I5" t="s">
        <v>355</v>
      </c>
      <c r="K5" s="65">
        <f>+E4*$T$26</f>
        <v>7811.5341483592247</v>
      </c>
      <c r="L5" s="65">
        <f>+F4*$T$26</f>
        <v>1840.263259490762</v>
      </c>
      <c r="M5" s="65">
        <f>+G4*$T$26</f>
        <v>2246.0157489965377</v>
      </c>
    </row>
    <row r="6" spans="2:14" x14ac:dyDescent="0.2">
      <c r="E6" s="65">
        <f>+E4-E5</f>
        <v>4890</v>
      </c>
      <c r="F6" s="65">
        <f>+F4-F5</f>
        <v>576</v>
      </c>
      <c r="G6" s="65">
        <f>+G4-G5</f>
        <v>703</v>
      </c>
      <c r="I6" t="s">
        <v>356</v>
      </c>
      <c r="K6" s="159">
        <f>+$T$27*E5</f>
        <v>11253.698630136985</v>
      </c>
      <c r="L6" s="159">
        <f>+$T$27*F5</f>
        <v>2706.4109589041095</v>
      </c>
      <c r="M6" s="159">
        <f>+$T$27*G5</f>
        <v>3303.1369863013697</v>
      </c>
    </row>
    <row r="7" spans="2:14" x14ac:dyDescent="0.2">
      <c r="E7" s="65"/>
      <c r="F7" s="65"/>
      <c r="G7" s="65"/>
      <c r="I7" t="s">
        <v>357</v>
      </c>
      <c r="K7" s="66">
        <f>+K4+K5-K6</f>
        <v>15648.931408633196</v>
      </c>
      <c r="L7" s="66">
        <f>+L4+L5-L6</f>
        <v>3631.3865471619943</v>
      </c>
      <c r="M7" s="66">
        <f>+M4+M5-M6</f>
        <v>4432.056844886949</v>
      </c>
    </row>
    <row r="8" spans="2:14" x14ac:dyDescent="0.2">
      <c r="B8" t="s">
        <v>243</v>
      </c>
      <c r="E8" s="65">
        <f>+Segments!M4</f>
        <v>4890</v>
      </c>
      <c r="F8" s="65">
        <f>+Segments!N4</f>
        <v>576</v>
      </c>
      <c r="G8" s="65">
        <f>+Segments!O4</f>
        <v>703</v>
      </c>
    </row>
    <row r="9" spans="2:14" x14ac:dyDescent="0.2">
      <c r="B9" t="s">
        <v>244</v>
      </c>
      <c r="E9" s="65">
        <f>+E8-E10-E11</f>
        <v>3534</v>
      </c>
      <c r="F9" s="65">
        <f>+F8-F10-F11</f>
        <v>2868</v>
      </c>
      <c r="G9" s="65">
        <f>+G8-G10-G11</f>
        <v>373</v>
      </c>
      <c r="I9" t="s">
        <v>358</v>
      </c>
      <c r="K9" s="176">
        <v>8.5000000000000006E-2</v>
      </c>
      <c r="L9" s="176">
        <v>8.5000000000000006E-2</v>
      </c>
      <c r="M9" s="176">
        <v>8.5000000000000006E-2</v>
      </c>
    </row>
    <row r="10" spans="2:14" x14ac:dyDescent="0.2">
      <c r="B10" t="s">
        <v>234</v>
      </c>
      <c r="E10" s="89">
        <v>233</v>
      </c>
      <c r="F10" s="89">
        <v>0</v>
      </c>
      <c r="G10" s="89">
        <v>0</v>
      </c>
      <c r="I10" t="s">
        <v>359</v>
      </c>
      <c r="K10" s="158">
        <f>+K7*K9</f>
        <v>1330.1591697338217</v>
      </c>
      <c r="L10" s="158">
        <f>+L7*L9</f>
        <v>308.66785650876955</v>
      </c>
      <c r="M10" s="158">
        <f>+M7*M9</f>
        <v>376.7248318153907</v>
      </c>
    </row>
    <row r="11" spans="2:14" x14ac:dyDescent="0.2">
      <c r="B11" t="s">
        <v>107</v>
      </c>
      <c r="E11" s="207">
        <f>+E13+E12</f>
        <v>1123</v>
      </c>
      <c r="F11" s="208">
        <f>+F13+F12</f>
        <v>-2292</v>
      </c>
      <c r="G11" s="209">
        <f>+G13+G12</f>
        <v>330</v>
      </c>
      <c r="I11" s="65"/>
      <c r="K11" s="65"/>
      <c r="L11" s="65"/>
      <c r="M11" s="65"/>
      <c r="N11" s="65"/>
    </row>
    <row r="12" spans="2:14" x14ac:dyDescent="0.2">
      <c r="B12" t="s">
        <v>232</v>
      </c>
      <c r="E12" s="89">
        <v>0</v>
      </c>
      <c r="F12" s="89">
        <v>0</v>
      </c>
      <c r="G12" s="89">
        <v>0</v>
      </c>
      <c r="I12" s="65"/>
      <c r="K12" s="65"/>
      <c r="L12" s="65"/>
      <c r="M12" s="65"/>
      <c r="N12" s="65"/>
    </row>
    <row r="13" spans="2:14" x14ac:dyDescent="0.2">
      <c r="B13" t="s">
        <v>246</v>
      </c>
      <c r="E13" s="89">
        <f>+E15</f>
        <v>1123</v>
      </c>
      <c r="F13" s="89">
        <f>+F15</f>
        <v>-2292</v>
      </c>
      <c r="G13" s="89">
        <v>330</v>
      </c>
      <c r="I13" s="65"/>
      <c r="K13" s="65"/>
      <c r="L13" s="65"/>
      <c r="M13" s="65"/>
      <c r="N13" s="65"/>
    </row>
    <row r="14" spans="2:14" x14ac:dyDescent="0.2">
      <c r="B14" t="s">
        <v>236</v>
      </c>
      <c r="E14" s="74">
        <v>0</v>
      </c>
      <c r="F14" s="74">
        <v>0</v>
      </c>
      <c r="G14" s="74">
        <v>0</v>
      </c>
      <c r="I14" s="65"/>
      <c r="K14" s="65"/>
      <c r="L14" s="65"/>
      <c r="M14" s="65"/>
      <c r="N14" s="65"/>
    </row>
    <row r="15" spans="2:14" x14ac:dyDescent="0.2">
      <c r="B15" t="s">
        <v>245</v>
      </c>
      <c r="E15" s="65">
        <v>1123</v>
      </c>
      <c r="F15" s="65">
        <v>-2292</v>
      </c>
      <c r="G15" s="65">
        <v>330</v>
      </c>
      <c r="I15" s="65"/>
      <c r="K15" s="65"/>
      <c r="L15" s="65"/>
      <c r="M15" s="65"/>
      <c r="N15" s="65"/>
    </row>
    <row r="16" spans="2:14" s="134" customFormat="1" ht="6.75" customHeight="1" x14ac:dyDescent="0.2"/>
    <row r="17" spans="2:24" ht="6.75" customHeight="1" x14ac:dyDescent="0.2"/>
    <row r="18" spans="2:24" x14ac:dyDescent="0.2">
      <c r="B18" t="s">
        <v>254</v>
      </c>
      <c r="J18" s="146"/>
      <c r="K18" s="146"/>
      <c r="L18" s="65"/>
      <c r="M18" s="65"/>
    </row>
    <row r="19" spans="2:24" x14ac:dyDescent="0.2">
      <c r="J19" s="110"/>
      <c r="K19" s="110"/>
      <c r="L19" s="65"/>
      <c r="M19" s="65"/>
      <c r="P19" s="139" t="s">
        <v>247</v>
      </c>
      <c r="Q19" s="142"/>
      <c r="R19" s="443">
        <f ca="1">+D22*$T$29</f>
        <v>323412.80138888891</v>
      </c>
      <c r="S19" s="443">
        <f ca="1">+E22*$T$29</f>
        <v>313641.18055555556</v>
      </c>
      <c r="T19" s="443">
        <f ca="1">+F22*$T$25</f>
        <v>320906.44153424661</v>
      </c>
      <c r="U19" s="443">
        <f ca="1">+G22*$T$25</f>
        <v>326806.95168876718</v>
      </c>
      <c r="V19" s="443">
        <f ca="1">+H22*$T$25</f>
        <v>339046.47381111229</v>
      </c>
      <c r="W19" s="443">
        <f ca="1">+I22*$T$25</f>
        <v>350901.05627040617</v>
      </c>
      <c r="X19" s="632" t="s">
        <v>867</v>
      </c>
    </row>
    <row r="20" spans="2:24" x14ac:dyDescent="0.2">
      <c r="B20" t="s">
        <v>255</v>
      </c>
      <c r="D20" s="450">
        <f ca="1">+'Valuation - DCF'!K21+'Valuation - DCF'!K31</f>
        <v>40852.143333333333</v>
      </c>
      <c r="E20" s="450">
        <f ca="1">+'Valuation - DCF'!L21+'Valuation - DCF'!L31</f>
        <v>39617.833333333336</v>
      </c>
      <c r="F20" s="65">
        <f ca="1">('Valuation - DCF'!M21+'Valuation - DCF'!M31)</f>
        <v>82197.088533333343</v>
      </c>
      <c r="G20" s="65">
        <f ca="1">('Valuation - DCF'!N21+'Valuation - DCF'!N31)</f>
        <v>83708.447274666687</v>
      </c>
      <c r="H20" s="65">
        <f ca="1">('Valuation - DCF'!O21+'Valuation - DCF'!O31)</f>
        <v>86843.482765653331</v>
      </c>
      <c r="I20" s="65">
        <f ca="1">('Valuation - DCF'!P21+'Valuation - DCF'!P31)</f>
        <v>89879.919676279475</v>
      </c>
      <c r="J20" s="158"/>
      <c r="K20" s="158"/>
      <c r="L20" s="65"/>
      <c r="M20" s="65"/>
      <c r="P20" s="157" t="s">
        <v>252</v>
      </c>
      <c r="Q20" s="110"/>
      <c r="R20" s="254">
        <f ca="1">+$T$26*D22*2</f>
        <v>130518.57369406911</v>
      </c>
      <c r="S20" s="254">
        <f ca="1">+$T$26*E22*2</f>
        <v>126575.07483326696</v>
      </c>
      <c r="T20" s="254">
        <f ca="1">+$T$26*F22</f>
        <v>131305.80040364823</v>
      </c>
      <c r="U20" s="254">
        <f ca="1">+$T$26*G22</f>
        <v>133720.12155259438</v>
      </c>
      <c r="V20" s="254">
        <f ca="1">+$T$26*H22</f>
        <v>138728.18633667621</v>
      </c>
      <c r="W20" s="254">
        <f ca="1">+$T$26*I22</f>
        <v>143578.74474499823</v>
      </c>
      <c r="X20" s="251"/>
    </row>
    <row r="21" spans="2:24" x14ac:dyDescent="0.2">
      <c r="J21" s="110"/>
      <c r="K21" s="110"/>
      <c r="L21" s="65"/>
      <c r="M21" s="65"/>
      <c r="P21" s="157" t="s">
        <v>249</v>
      </c>
      <c r="Q21" s="110"/>
      <c r="R21" s="254">
        <f ca="1">+D23*$T$30</f>
        <v>190643.33555555556</v>
      </c>
      <c r="S21" s="254">
        <f ca="1">+E23*$T$33</f>
        <v>184883.22222222222</v>
      </c>
      <c r="T21" s="254">
        <f ca="1">+F23*$T$27</f>
        <v>189165.90237808219</v>
      </c>
      <c r="U21" s="254">
        <f ca="1">+G23*$T$27</f>
        <v>192644.09783758907</v>
      </c>
      <c r="V21" s="254">
        <f ca="1">+H23*$T$27</f>
        <v>199858.97403602407</v>
      </c>
      <c r="W21" s="254">
        <f ca="1">+I23*$T$27</f>
        <v>206846.93843308152</v>
      </c>
      <c r="X21" s="251"/>
    </row>
    <row r="22" spans="2:24" x14ac:dyDescent="0.2">
      <c r="B22" t="s">
        <v>266</v>
      </c>
      <c r="C22" s="132">
        <v>0.04</v>
      </c>
      <c r="D22" s="76">
        <f t="shared" ref="D22:I22" ca="1" si="0">+D20/$C$22</f>
        <v>1021303.5833333334</v>
      </c>
      <c r="E22" s="76">
        <f t="shared" ca="1" si="0"/>
        <v>990445.83333333337</v>
      </c>
      <c r="F22" s="76">
        <f t="shared" ca="1" si="0"/>
        <v>2054927.2133333336</v>
      </c>
      <c r="G22" s="76">
        <f t="shared" ca="1" si="0"/>
        <v>2092711.1818666672</v>
      </c>
      <c r="H22" s="76">
        <f t="shared" ca="1" si="0"/>
        <v>2171087.069141333</v>
      </c>
      <c r="I22" s="76">
        <f t="shared" ca="1" si="0"/>
        <v>2246997.991906987</v>
      </c>
      <c r="J22" s="254"/>
      <c r="K22" s="254"/>
      <c r="L22" s="65"/>
      <c r="M22" s="65"/>
      <c r="P22" s="157"/>
      <c r="Q22" s="110"/>
      <c r="R22" s="158"/>
      <c r="S22" s="158"/>
      <c r="T22" s="158"/>
      <c r="U22" s="254"/>
      <c r="V22" s="254"/>
      <c r="W22" s="254"/>
      <c r="X22" s="251"/>
    </row>
    <row r="23" spans="2:24" x14ac:dyDescent="0.2">
      <c r="B23" t="s">
        <v>251</v>
      </c>
      <c r="D23" s="166">
        <f ca="1">+'Income Statement'!G15</f>
        <v>980451.44</v>
      </c>
      <c r="E23" s="166">
        <f ca="1">+'Income Statement'!H15</f>
        <v>950828</v>
      </c>
      <c r="F23" s="166">
        <f ca="1">+'Income Statement'!J15</f>
        <v>1972730.1248000001</v>
      </c>
      <c r="G23" s="166">
        <f ca="1">+'Income Statement'!K15</f>
        <v>2009002.7345920005</v>
      </c>
      <c r="H23" s="166">
        <f ca="1">+'Income Statement'!L15</f>
        <v>2084243.5863756796</v>
      </c>
      <c r="I23" s="166">
        <f ca="1">+'Income Statement'!M15</f>
        <v>2157118.0722307074</v>
      </c>
      <c r="J23" s="463"/>
      <c r="K23" s="463"/>
      <c r="L23" s="65"/>
      <c r="M23" s="65"/>
      <c r="P23" s="157"/>
      <c r="Q23" s="110"/>
      <c r="R23" s="158"/>
      <c r="S23" s="158"/>
      <c r="T23" s="158"/>
      <c r="U23" s="254"/>
      <c r="V23" s="254"/>
      <c r="W23" s="254"/>
      <c r="X23" s="251"/>
    </row>
    <row r="24" spans="2:24" ht="25.5" x14ac:dyDescent="0.2">
      <c r="D24" s="128" t="s">
        <v>720</v>
      </c>
      <c r="E24" s="129" t="s">
        <v>719</v>
      </c>
      <c r="F24" s="129">
        <v>2002</v>
      </c>
      <c r="G24" s="129">
        <v>2003</v>
      </c>
      <c r="H24" s="129">
        <v>2004</v>
      </c>
      <c r="I24" s="464">
        <v>2005</v>
      </c>
      <c r="J24" s="463"/>
      <c r="K24" s="463"/>
      <c r="L24" s="65"/>
      <c r="M24" s="65"/>
      <c r="P24" s="157"/>
      <c r="Q24" s="139"/>
      <c r="R24" s="177" t="s">
        <v>367</v>
      </c>
      <c r="S24" s="142" t="s">
        <v>302</v>
      </c>
      <c r="T24" s="141"/>
      <c r="U24" s="254"/>
      <c r="V24" s="254"/>
      <c r="W24" s="254"/>
      <c r="X24" s="251"/>
    </row>
    <row r="25" spans="2:24" x14ac:dyDescent="0.2">
      <c r="B25" s="80" t="s">
        <v>564</v>
      </c>
      <c r="D25" s="166"/>
      <c r="E25" s="166"/>
      <c r="F25" s="166"/>
      <c r="G25" s="166"/>
      <c r="H25" s="166"/>
      <c r="I25" s="166"/>
      <c r="J25" s="463"/>
      <c r="K25" s="463"/>
      <c r="L25" s="65"/>
      <c r="M25" s="65"/>
      <c r="P25" s="157"/>
      <c r="Q25" s="157" t="s">
        <v>247</v>
      </c>
      <c r="R25" s="178">
        <f>'Balance Sheet'!E13/'Income Statement'!E8*365</f>
        <v>45.269501204586156</v>
      </c>
      <c r="S25" s="110">
        <v>57</v>
      </c>
      <c r="T25" s="179">
        <f>+S25/365</f>
        <v>0.15616438356164383</v>
      </c>
      <c r="U25" s="158"/>
      <c r="V25" s="158"/>
      <c r="W25" s="158"/>
      <c r="X25" s="691"/>
    </row>
    <row r="26" spans="2:24" x14ac:dyDescent="0.2">
      <c r="B26" s="298" t="s">
        <v>151</v>
      </c>
      <c r="D26" s="166">
        <f>'Valuation - DCF'!K14</f>
        <v>3591.5</v>
      </c>
      <c r="E26" s="166">
        <f>'Valuation - DCF'!L14</f>
        <v>3591.5</v>
      </c>
      <c r="F26" s="166">
        <f>'Valuation - DCF'!M14</f>
        <v>7470.3200000000006</v>
      </c>
      <c r="G26" s="166">
        <f>'Valuation - DCF'!N14</f>
        <v>7769.1328000000012</v>
      </c>
      <c r="H26" s="166">
        <f>'Valuation - DCF'!O14</f>
        <v>8079.8981120000017</v>
      </c>
      <c r="I26" s="166">
        <f>'Valuation - DCF'!P14</f>
        <v>8403.0940364800026</v>
      </c>
      <c r="J26" s="463"/>
      <c r="K26" s="463"/>
      <c r="L26" s="65"/>
      <c r="M26" s="65"/>
      <c r="P26" s="157"/>
      <c r="Q26" s="157" t="s">
        <v>248</v>
      </c>
      <c r="R26" s="178">
        <f>'Balance Sheet'!E14/'Income Statement'!E8*365</f>
        <v>13.040079805101277</v>
      </c>
      <c r="S26" s="687">
        <f>+S36</f>
        <v>23.322780892851672</v>
      </c>
      <c r="T26" s="179">
        <f>+S26/365</f>
        <v>6.3898029843429238E-2</v>
      </c>
      <c r="U26" s="110"/>
      <c r="V26" s="110"/>
      <c r="W26" s="110"/>
      <c r="X26" s="214"/>
    </row>
    <row r="27" spans="2:24" x14ac:dyDescent="0.2">
      <c r="B27" s="298" t="s">
        <v>152</v>
      </c>
      <c r="D27" s="166">
        <f ca="1">'Valuation - DCF'!K19</f>
        <v>5025.0600000000004</v>
      </c>
      <c r="E27" s="166">
        <f ca="1">'Valuation - DCF'!L19</f>
        <v>5025.0600000000004</v>
      </c>
      <c r="F27" s="166">
        <f ca="1">'Valuation - DCF'!M19</f>
        <v>10244.120000000001</v>
      </c>
      <c r="G27" s="166">
        <f ca="1">'Valuation - DCF'!N19</f>
        <v>8877.36</v>
      </c>
      <c r="H27" s="166">
        <f ca="1">'Valuation - DCF'!O19</f>
        <v>9019.1520000000019</v>
      </c>
      <c r="I27" s="166">
        <f ca="1">'Valuation - DCF'!P19</f>
        <v>8942.615679999999</v>
      </c>
      <c r="J27" s="463"/>
      <c r="K27" s="463"/>
      <c r="L27" s="65"/>
      <c r="M27" s="65"/>
      <c r="P27" s="157"/>
      <c r="Q27" s="147" t="s">
        <v>249</v>
      </c>
      <c r="R27" s="196">
        <f>'Balance Sheet'!E28/'Income Statement'!E15*365</f>
        <v>20.603113940566821</v>
      </c>
      <c r="S27" s="134">
        <v>35</v>
      </c>
      <c r="T27" s="197">
        <f>+S27/365</f>
        <v>9.5890410958904104E-2</v>
      </c>
      <c r="U27" s="110"/>
      <c r="V27" s="110"/>
      <c r="W27" s="110"/>
      <c r="X27" s="214"/>
    </row>
    <row r="28" spans="2:24" x14ac:dyDescent="0.2">
      <c r="B28" s="298" t="s">
        <v>739</v>
      </c>
      <c r="D28" s="166">
        <f>'Valuation - DCF'!K15</f>
        <v>3839.3333333333335</v>
      </c>
      <c r="E28" s="166">
        <f>'Valuation - DCF'!L15</f>
        <v>3839.3333333333335</v>
      </c>
      <c r="F28" s="166">
        <f>'Valuation - DCF'!M15</f>
        <v>7985.8133333333335</v>
      </c>
      <c r="G28" s="166">
        <f>'Valuation - DCF'!N15</f>
        <v>8305.245866666668</v>
      </c>
      <c r="H28" s="166">
        <f>'Valuation - DCF'!O15</f>
        <v>8637.4557013333342</v>
      </c>
      <c r="I28" s="166">
        <f>'Valuation - DCF'!P15</f>
        <v>8982.9539293866674</v>
      </c>
      <c r="J28" s="463"/>
      <c r="K28" s="463"/>
      <c r="L28" s="65"/>
      <c r="M28" s="65"/>
      <c r="P28" s="157"/>
      <c r="Q28" s="110"/>
      <c r="R28" s="110"/>
      <c r="S28" s="110"/>
      <c r="T28" s="110"/>
      <c r="U28" s="110"/>
      <c r="V28" s="110"/>
      <c r="W28" s="110"/>
      <c r="X28" s="214"/>
    </row>
    <row r="29" spans="2:24" x14ac:dyDescent="0.2">
      <c r="B29" s="298" t="s">
        <v>740</v>
      </c>
      <c r="D29" s="166">
        <f>'Valuation - DCF'!K16+'Valuation - DCF'!K31</f>
        <v>16732.5</v>
      </c>
      <c r="E29" s="166">
        <f>'Valuation - DCF'!L16+'Valuation - DCF'!L31</f>
        <v>15498.19</v>
      </c>
      <c r="F29" s="166">
        <f>'Valuation - DCF'!M16+'Valuation - DCF'!M31</f>
        <v>32236.235199999999</v>
      </c>
      <c r="G29" s="166">
        <f>'Valuation - DCF'!N16+'Valuation - DCF'!N31</f>
        <v>33525.684607999996</v>
      </c>
      <c r="H29" s="166">
        <f>'Valuation - DCF'!O16+'Valuation - DCF'!O31</f>
        <v>34866.711992320001</v>
      </c>
      <c r="I29" s="166">
        <f>'Valuation - DCF'!P16+'Valuation - DCF'!P31</f>
        <v>36261.380472012803</v>
      </c>
      <c r="J29" s="463"/>
      <c r="K29" s="463"/>
      <c r="L29" s="65"/>
      <c r="M29" s="65"/>
      <c r="P29" s="157"/>
      <c r="Q29" s="110" t="s">
        <v>653</v>
      </c>
      <c r="R29" s="110"/>
      <c r="S29" s="110">
        <v>57</v>
      </c>
      <c r="T29" s="760">
        <f>+S29/180</f>
        <v>0.31666666666666665</v>
      </c>
      <c r="U29" s="110"/>
      <c r="V29" s="110"/>
      <c r="W29" s="110"/>
      <c r="X29" s="214"/>
    </row>
    <row r="30" spans="2:24" x14ac:dyDescent="0.2">
      <c r="B30" s="298" t="s">
        <v>229</v>
      </c>
      <c r="D30" s="166">
        <f>'Valuation - DCF'!K17</f>
        <v>6251.5</v>
      </c>
      <c r="E30" s="166">
        <f>'Valuation - DCF'!L17</f>
        <v>6251.5</v>
      </c>
      <c r="F30" s="166">
        <f>'Valuation - DCF'!M17</f>
        <v>13003.12</v>
      </c>
      <c r="G30" s="166">
        <f>'Valuation - DCF'!N17</f>
        <v>13523.2448</v>
      </c>
      <c r="H30" s="166">
        <f>'Valuation - DCF'!O17</f>
        <v>14064.174592000001</v>
      </c>
      <c r="I30" s="166">
        <f>'Valuation - DCF'!P17</f>
        <v>14626.741575680002</v>
      </c>
      <c r="J30" s="463"/>
      <c r="K30" s="463"/>
      <c r="L30" s="65"/>
      <c r="M30" s="65"/>
      <c r="P30" s="157"/>
      <c r="Q30" s="110" t="s">
        <v>654</v>
      </c>
      <c r="R30" s="110"/>
      <c r="S30" s="110">
        <f>+S27</f>
        <v>35</v>
      </c>
      <c r="T30" s="760">
        <f>+S30/180</f>
        <v>0.19444444444444445</v>
      </c>
      <c r="U30" s="110"/>
      <c r="V30" s="110"/>
      <c r="W30" s="110"/>
      <c r="X30" s="214"/>
    </row>
    <row r="31" spans="2:24" x14ac:dyDescent="0.2">
      <c r="B31" s="298" t="s">
        <v>230</v>
      </c>
      <c r="D31" s="166">
        <f>'Valuation - DCF'!K20</f>
        <v>5412.25</v>
      </c>
      <c r="E31" s="166">
        <f>'Valuation - DCF'!L20</f>
        <v>5412.25</v>
      </c>
      <c r="F31" s="166">
        <f>'Valuation - DCF'!M20</f>
        <v>11257.48</v>
      </c>
      <c r="G31" s="166">
        <f>'Valuation - DCF'!N20</f>
        <v>11707.779200000001</v>
      </c>
      <c r="H31" s="166">
        <f>'Valuation - DCF'!O20</f>
        <v>12176.090368000001</v>
      </c>
      <c r="I31" s="166">
        <f>'Valuation - DCF'!P20</f>
        <v>12663.133982720001</v>
      </c>
      <c r="J31" s="463"/>
      <c r="K31" s="463"/>
      <c r="L31" s="65"/>
      <c r="M31" s="65"/>
      <c r="P31" s="157"/>
      <c r="Q31" s="110"/>
      <c r="R31" s="110"/>
      <c r="S31" s="110"/>
      <c r="T31" s="110"/>
      <c r="U31" s="110"/>
      <c r="V31" s="110"/>
      <c r="W31" s="110"/>
      <c r="X31" s="214"/>
    </row>
    <row r="32" spans="2:24" x14ac:dyDescent="0.2">
      <c r="B32" s="298"/>
      <c r="D32" s="166"/>
      <c r="E32" s="166"/>
      <c r="F32" s="166"/>
      <c r="G32" s="166"/>
      <c r="H32" s="166"/>
      <c r="I32" s="166"/>
      <c r="J32" s="463"/>
      <c r="K32" s="463"/>
      <c r="L32" s="65"/>
      <c r="M32" s="65"/>
      <c r="P32" s="157"/>
      <c r="Q32" s="110" t="s">
        <v>653</v>
      </c>
      <c r="R32" s="110"/>
      <c r="S32" s="110">
        <v>57</v>
      </c>
      <c r="T32" s="761">
        <f>+S32/180</f>
        <v>0.31666666666666665</v>
      </c>
      <c r="U32" s="110"/>
      <c r="V32" s="110"/>
      <c r="W32" s="110"/>
      <c r="X32" s="214"/>
    </row>
    <row r="33" spans="1:24" x14ac:dyDescent="0.2">
      <c r="A33" s="80" t="s">
        <v>741</v>
      </c>
      <c r="B33" s="80" t="s">
        <v>266</v>
      </c>
      <c r="D33" s="166"/>
      <c r="E33" s="166"/>
      <c r="F33" s="166"/>
      <c r="G33" s="166"/>
      <c r="H33" s="166"/>
      <c r="I33" s="166"/>
      <c r="J33" s="463"/>
      <c r="K33" s="463"/>
      <c r="L33" s="65"/>
      <c r="M33" s="65"/>
      <c r="P33" s="157"/>
      <c r="Q33" s="110" t="s">
        <v>654</v>
      </c>
      <c r="R33" s="110"/>
      <c r="S33" s="110">
        <f>+S27</f>
        <v>35</v>
      </c>
      <c r="T33" s="713">
        <f>+S33/180</f>
        <v>0.19444444444444445</v>
      </c>
      <c r="U33" s="110"/>
      <c r="V33" s="110"/>
      <c r="W33" s="110"/>
      <c r="X33" s="214"/>
    </row>
    <row r="34" spans="1:24" x14ac:dyDescent="0.2">
      <c r="A34" s="154">
        <f>'T. Margins'!$Q$15</f>
        <v>3.0499999999999999E-2</v>
      </c>
      <c r="B34" s="298" t="s">
        <v>151</v>
      </c>
      <c r="D34" s="166">
        <f t="shared" ref="D34:I34" si="1">D26/$A34</f>
        <v>117754.09836065574</v>
      </c>
      <c r="E34" s="166">
        <f t="shared" si="1"/>
        <v>117754.09836065574</v>
      </c>
      <c r="F34" s="166">
        <f t="shared" si="1"/>
        <v>244928.52459016396</v>
      </c>
      <c r="G34" s="166">
        <f t="shared" si="1"/>
        <v>254725.66557377053</v>
      </c>
      <c r="H34" s="166">
        <f t="shared" si="1"/>
        <v>264914.69219672139</v>
      </c>
      <c r="I34" s="166">
        <f t="shared" si="1"/>
        <v>275511.27988459024</v>
      </c>
      <c r="J34" s="463"/>
      <c r="K34" s="463"/>
      <c r="L34" s="65"/>
      <c r="M34" s="65"/>
      <c r="P34" s="157"/>
      <c r="Q34" s="110"/>
      <c r="R34" s="110"/>
      <c r="S34" s="110"/>
      <c r="T34" s="110"/>
      <c r="U34" s="110"/>
      <c r="V34" s="110"/>
      <c r="W34" s="110"/>
      <c r="X34" s="214"/>
    </row>
    <row r="35" spans="1:24" x14ac:dyDescent="0.2">
      <c r="A35" s="154">
        <f>'T. Margins'!$Q$20</f>
        <v>7.5300000000000006E-2</v>
      </c>
      <c r="B35" s="298" t="s">
        <v>152</v>
      </c>
      <c r="D35" s="166">
        <f t="shared" ref="D35:I39" ca="1" si="2">D27/$A35</f>
        <v>66733.864541832663</v>
      </c>
      <c r="E35" s="166">
        <f t="shared" ca="1" si="2"/>
        <v>66733.864541832663</v>
      </c>
      <c r="F35" s="166">
        <f t="shared" ca="1" si="2"/>
        <v>136044.0903054449</v>
      </c>
      <c r="G35" s="166">
        <f t="shared" ca="1" si="2"/>
        <v>117893.22709163347</v>
      </c>
      <c r="H35" s="166">
        <f t="shared" ca="1" si="2"/>
        <v>119776.2549800797</v>
      </c>
      <c r="I35" s="166">
        <f t="shared" ca="1" si="2"/>
        <v>118759.83638778218</v>
      </c>
      <c r="J35" s="463"/>
      <c r="K35" s="463"/>
      <c r="L35" s="65"/>
      <c r="M35" s="65"/>
      <c r="P35" s="157"/>
      <c r="Q35" s="110"/>
      <c r="R35" s="178">
        <f>365/('Income Statement'!E20/'Balance Sheet'!E28)</f>
        <v>19.824212945299436</v>
      </c>
      <c r="S35" s="178">
        <f>365/('Income Statement'!F20/'Balance Sheet'!F28)</f>
        <v>35.383836832815717</v>
      </c>
      <c r="T35" s="110"/>
      <c r="U35" s="110"/>
      <c r="V35" s="110"/>
      <c r="W35" s="110"/>
      <c r="X35" s="214"/>
    </row>
    <row r="36" spans="1:24" x14ac:dyDescent="0.2">
      <c r="A36" s="154">
        <f>'T. Margins'!$G$31</f>
        <v>4.0800000000000003E-2</v>
      </c>
      <c r="B36" s="298" t="s">
        <v>739</v>
      </c>
      <c r="D36" s="166">
        <f t="shared" si="2"/>
        <v>94101.30718954248</v>
      </c>
      <c r="E36" s="166">
        <f t="shared" si="2"/>
        <v>94101.30718954248</v>
      </c>
      <c r="F36" s="166">
        <f t="shared" si="2"/>
        <v>195730.71895424835</v>
      </c>
      <c r="G36" s="166">
        <f t="shared" si="2"/>
        <v>203559.94771241833</v>
      </c>
      <c r="H36" s="166">
        <f t="shared" si="2"/>
        <v>211702.34562091503</v>
      </c>
      <c r="I36" s="166">
        <f t="shared" si="2"/>
        <v>220170.43944575163</v>
      </c>
      <c r="J36" s="463"/>
      <c r="K36" s="463"/>
      <c r="L36" s="65"/>
      <c r="M36" s="65"/>
      <c r="P36" s="147"/>
      <c r="Q36" s="134"/>
      <c r="R36" s="196">
        <f>365/('Income Statement'!E12/'Balance Sheet'!E14)</f>
        <v>12.993533082197876</v>
      </c>
      <c r="S36" s="196">
        <f>365/('Income Statement'!F12/'Balance Sheet'!F14)</f>
        <v>23.322780892851672</v>
      </c>
      <c r="T36" s="134"/>
      <c r="U36" s="134"/>
      <c r="V36" s="134"/>
      <c r="W36" s="134"/>
      <c r="X36" s="148"/>
    </row>
    <row r="37" spans="1:24" x14ac:dyDescent="0.2">
      <c r="A37" s="154">
        <f>'T. Margins'!$G$31</f>
        <v>4.0800000000000003E-2</v>
      </c>
      <c r="B37" s="298" t="s">
        <v>740</v>
      </c>
      <c r="D37" s="166">
        <f t="shared" si="2"/>
        <v>410110.29411764705</v>
      </c>
      <c r="E37" s="166">
        <f t="shared" si="2"/>
        <v>379857.59803921566</v>
      </c>
      <c r="F37" s="166">
        <f t="shared" si="2"/>
        <v>790103.80392156856</v>
      </c>
      <c r="G37" s="166">
        <f t="shared" si="2"/>
        <v>821707.95607843122</v>
      </c>
      <c r="H37" s="166">
        <f t="shared" si="2"/>
        <v>854576.27432156855</v>
      </c>
      <c r="I37" s="166">
        <f t="shared" si="2"/>
        <v>888759.32529443142</v>
      </c>
      <c r="J37" s="463"/>
      <c r="K37" s="463"/>
      <c r="L37" s="65"/>
      <c r="M37" s="65"/>
    </row>
    <row r="38" spans="1:24" x14ac:dyDescent="0.2">
      <c r="A38" s="154">
        <f>'T. Margins'!$G$53</f>
        <v>1.5100000000000001E-2</v>
      </c>
      <c r="B38" s="298" t="s">
        <v>229</v>
      </c>
      <c r="D38" s="166">
        <f t="shared" si="2"/>
        <v>414006.62251655629</v>
      </c>
      <c r="E38" s="166">
        <f t="shared" si="2"/>
        <v>414006.62251655629</v>
      </c>
      <c r="F38" s="166">
        <f t="shared" si="2"/>
        <v>861133.77483443706</v>
      </c>
      <c r="G38" s="166">
        <f t="shared" si="2"/>
        <v>895579.12582781457</v>
      </c>
      <c r="H38" s="166">
        <f t="shared" si="2"/>
        <v>931402.2908609272</v>
      </c>
      <c r="I38" s="166">
        <f t="shared" si="2"/>
        <v>968658.38249536429</v>
      </c>
      <c r="J38" s="463"/>
      <c r="K38" s="463"/>
      <c r="L38" s="65"/>
      <c r="M38" s="65"/>
    </row>
    <row r="39" spans="1:24" x14ac:dyDescent="0.2">
      <c r="A39" s="262">
        <v>1</v>
      </c>
      <c r="B39" s="298" t="s">
        <v>230</v>
      </c>
      <c r="D39" s="166">
        <f t="shared" si="2"/>
        <v>5412.25</v>
      </c>
      <c r="E39" s="166">
        <f t="shared" si="2"/>
        <v>5412.25</v>
      </c>
      <c r="F39" s="166">
        <f t="shared" si="2"/>
        <v>11257.48</v>
      </c>
      <c r="G39" s="166">
        <f t="shared" si="2"/>
        <v>11707.779200000001</v>
      </c>
      <c r="H39" s="166">
        <f t="shared" si="2"/>
        <v>12176.090368000001</v>
      </c>
      <c r="I39" s="166">
        <f t="shared" si="2"/>
        <v>12663.133982720001</v>
      </c>
      <c r="J39" s="463"/>
      <c r="K39" s="463"/>
      <c r="L39" s="65"/>
      <c r="M39" s="65"/>
    </row>
    <row r="40" spans="1:24" x14ac:dyDescent="0.2">
      <c r="B40" s="298"/>
      <c r="D40" s="166"/>
      <c r="E40" s="166"/>
      <c r="F40" s="166"/>
      <c r="G40" s="166"/>
      <c r="H40" s="166"/>
      <c r="I40" s="166"/>
      <c r="J40" s="463"/>
      <c r="K40" s="463"/>
      <c r="L40" s="65"/>
      <c r="M40" s="65"/>
    </row>
    <row r="41" spans="1:24" x14ac:dyDescent="0.2">
      <c r="B41" s="80" t="s">
        <v>395</v>
      </c>
      <c r="D41" s="166"/>
      <c r="E41" s="166"/>
      <c r="F41" s="166"/>
      <c r="G41" s="166"/>
      <c r="H41" s="166"/>
      <c r="I41" s="166"/>
      <c r="J41" s="463"/>
      <c r="K41" s="463"/>
      <c r="L41" s="65"/>
      <c r="M41" s="65"/>
    </row>
    <row r="42" spans="1:24" x14ac:dyDescent="0.2">
      <c r="B42" s="298" t="s">
        <v>151</v>
      </c>
      <c r="D42" s="166">
        <f t="shared" ref="D42:I42" si="3">D34-D26</f>
        <v>114162.59836065574</v>
      </c>
      <c r="E42" s="166">
        <f t="shared" si="3"/>
        <v>114162.59836065574</v>
      </c>
      <c r="F42" s="166">
        <f t="shared" si="3"/>
        <v>237458.20459016395</v>
      </c>
      <c r="G42" s="166">
        <f t="shared" si="3"/>
        <v>246956.53277377054</v>
      </c>
      <c r="H42" s="166">
        <f t="shared" si="3"/>
        <v>256834.79408472139</v>
      </c>
      <c r="I42" s="166">
        <f t="shared" si="3"/>
        <v>267108.18584811024</v>
      </c>
      <c r="J42" s="463"/>
      <c r="K42" s="463"/>
      <c r="L42" s="65"/>
      <c r="M42" s="65"/>
    </row>
    <row r="43" spans="1:24" x14ac:dyDescent="0.2">
      <c r="B43" s="298" t="s">
        <v>152</v>
      </c>
      <c r="D43" s="166">
        <f t="shared" ref="D43:I47" ca="1" si="4">D35-D27</f>
        <v>61708.804541832666</v>
      </c>
      <c r="E43" s="166">
        <f t="shared" ca="1" si="4"/>
        <v>61708.804541832666</v>
      </c>
      <c r="F43" s="166">
        <f t="shared" ca="1" si="4"/>
        <v>125799.97030544491</v>
      </c>
      <c r="G43" s="166">
        <f t="shared" ca="1" si="4"/>
        <v>109015.86709163347</v>
      </c>
      <c r="H43" s="166">
        <f t="shared" ca="1" si="4"/>
        <v>110757.1029800797</v>
      </c>
      <c r="I43" s="166">
        <f t="shared" ca="1" si="4"/>
        <v>109817.22070778218</v>
      </c>
      <c r="J43" s="463"/>
      <c r="K43" s="463"/>
      <c r="L43" s="65"/>
      <c r="M43" s="65"/>
    </row>
    <row r="44" spans="1:24" x14ac:dyDescent="0.2">
      <c r="B44" s="298" t="s">
        <v>739</v>
      </c>
      <c r="D44" s="166">
        <f t="shared" si="4"/>
        <v>90261.973856209152</v>
      </c>
      <c r="E44" s="166">
        <f t="shared" si="4"/>
        <v>90261.973856209152</v>
      </c>
      <c r="F44" s="166">
        <f t="shared" si="4"/>
        <v>187744.90562091503</v>
      </c>
      <c r="G44" s="166">
        <f t="shared" si="4"/>
        <v>195254.70184575167</v>
      </c>
      <c r="H44" s="166">
        <f t="shared" si="4"/>
        <v>203064.88991958171</v>
      </c>
      <c r="I44" s="166">
        <f t="shared" si="4"/>
        <v>211187.48551636498</v>
      </c>
      <c r="J44" s="463"/>
      <c r="K44" s="463"/>
      <c r="L44" s="65"/>
      <c r="M44" s="65"/>
    </row>
    <row r="45" spans="1:24" x14ac:dyDescent="0.2">
      <c r="B45" s="298" t="s">
        <v>740</v>
      </c>
      <c r="D45" s="166">
        <f t="shared" si="4"/>
        <v>393377.79411764705</v>
      </c>
      <c r="E45" s="166">
        <f t="shared" si="4"/>
        <v>364359.40803921566</v>
      </c>
      <c r="F45" s="166">
        <f t="shared" si="4"/>
        <v>757867.56872156856</v>
      </c>
      <c r="G45" s="166">
        <f t="shared" si="4"/>
        <v>788182.27147043124</v>
      </c>
      <c r="H45" s="166">
        <f t="shared" si="4"/>
        <v>819709.56232924853</v>
      </c>
      <c r="I45" s="166">
        <f t="shared" si="4"/>
        <v>852497.94482241862</v>
      </c>
      <c r="J45" s="463"/>
      <c r="K45" s="463"/>
      <c r="L45" s="65"/>
      <c r="M45" s="65"/>
    </row>
    <row r="46" spans="1:24" x14ac:dyDescent="0.2">
      <c r="B46" s="298" t="s">
        <v>229</v>
      </c>
      <c r="D46" s="166">
        <f t="shared" si="4"/>
        <v>407755.12251655629</v>
      </c>
      <c r="E46" s="166">
        <f t="shared" si="4"/>
        <v>407755.12251655629</v>
      </c>
      <c r="F46" s="166">
        <f t="shared" si="4"/>
        <v>848130.65483443707</v>
      </c>
      <c r="G46" s="166">
        <f t="shared" si="4"/>
        <v>882055.88102781458</v>
      </c>
      <c r="H46" s="166">
        <f t="shared" si="4"/>
        <v>917338.11626892723</v>
      </c>
      <c r="I46" s="166">
        <f t="shared" si="4"/>
        <v>954031.64091968432</v>
      </c>
      <c r="J46" s="463"/>
      <c r="K46" s="463"/>
      <c r="L46" s="65"/>
      <c r="M46" s="65"/>
    </row>
    <row r="47" spans="1:24" x14ac:dyDescent="0.2">
      <c r="B47" s="298" t="s">
        <v>230</v>
      </c>
      <c r="D47" s="166">
        <f t="shared" si="4"/>
        <v>0</v>
      </c>
      <c r="E47" s="166">
        <f t="shared" si="4"/>
        <v>0</v>
      </c>
      <c r="F47" s="166">
        <f t="shared" si="4"/>
        <v>0</v>
      </c>
      <c r="G47" s="166">
        <f t="shared" si="4"/>
        <v>0</v>
      </c>
      <c r="H47" s="166">
        <f t="shared" si="4"/>
        <v>0</v>
      </c>
      <c r="I47" s="166">
        <f t="shared" si="4"/>
        <v>0</v>
      </c>
      <c r="J47" s="463"/>
      <c r="K47" s="463"/>
      <c r="L47" s="65"/>
      <c r="M47" s="65"/>
    </row>
    <row r="48" spans="1:24" x14ac:dyDescent="0.2">
      <c r="B48" s="298"/>
      <c r="D48" s="166"/>
      <c r="E48" s="166"/>
      <c r="F48" s="166"/>
      <c r="G48" s="166"/>
      <c r="H48" s="166"/>
      <c r="I48" s="166"/>
      <c r="J48" s="463"/>
      <c r="K48" s="463"/>
      <c r="L48" s="65"/>
      <c r="M48" s="65"/>
    </row>
    <row r="49" spans="2:13" x14ac:dyDescent="0.2">
      <c r="B49" s="80" t="s">
        <v>879</v>
      </c>
      <c r="D49" s="826" t="s">
        <v>406</v>
      </c>
      <c r="E49" s="826"/>
      <c r="F49" s="826"/>
      <c r="G49" s="826"/>
      <c r="H49" s="826"/>
      <c r="I49" s="826"/>
      <c r="J49" s="463"/>
      <c r="K49" s="463"/>
      <c r="L49" s="65"/>
      <c r="M49" s="65"/>
    </row>
    <row r="50" spans="2:13" x14ac:dyDescent="0.2">
      <c r="B50" s="298" t="s">
        <v>151</v>
      </c>
      <c r="D50" s="166">
        <v>38.799999999999997</v>
      </c>
      <c r="E50" s="166">
        <f>D50</f>
        <v>38.799999999999997</v>
      </c>
      <c r="F50" s="166">
        <f>((E50)-10)+5</f>
        <v>33.799999999999997</v>
      </c>
      <c r="G50" s="166">
        <f t="shared" ref="G50:I51" si="5">F50</f>
        <v>33.799999999999997</v>
      </c>
      <c r="H50" s="166">
        <f t="shared" si="5"/>
        <v>33.799999999999997</v>
      </c>
      <c r="I50" s="166">
        <f t="shared" si="5"/>
        <v>33.799999999999997</v>
      </c>
      <c r="K50" s="166"/>
      <c r="L50" s="65"/>
      <c r="M50" s="65"/>
    </row>
    <row r="51" spans="2:13" x14ac:dyDescent="0.2">
      <c r="B51" s="298" t="s">
        <v>152</v>
      </c>
      <c r="D51" s="166">
        <v>76.3</v>
      </c>
      <c r="E51" s="166">
        <f>D51</f>
        <v>76.3</v>
      </c>
      <c r="F51" s="166">
        <f>((E51)-10)+5</f>
        <v>71.3</v>
      </c>
      <c r="G51" s="166">
        <f t="shared" si="5"/>
        <v>71.3</v>
      </c>
      <c r="H51" s="166">
        <f t="shared" si="5"/>
        <v>71.3</v>
      </c>
      <c r="I51" s="166">
        <f t="shared" si="5"/>
        <v>71.3</v>
      </c>
      <c r="K51" s="166"/>
      <c r="L51" s="65"/>
      <c r="M51" s="65"/>
    </row>
    <row r="52" spans="2:13" x14ac:dyDescent="0.2">
      <c r="B52" s="298" t="s">
        <v>739</v>
      </c>
      <c r="D52" s="166">
        <v>92.9</v>
      </c>
      <c r="E52" s="166">
        <f>D52</f>
        <v>92.9</v>
      </c>
      <c r="F52" s="166">
        <v>85</v>
      </c>
      <c r="G52" s="166">
        <f>F52</f>
        <v>85</v>
      </c>
      <c r="H52" s="166">
        <f>+G52</f>
        <v>85</v>
      </c>
      <c r="I52" s="166">
        <f>H52</f>
        <v>85</v>
      </c>
      <c r="K52" s="166"/>
      <c r="L52" s="65"/>
      <c r="M52" s="65"/>
    </row>
    <row r="53" spans="2:13" x14ac:dyDescent="0.2">
      <c r="B53" s="298" t="s">
        <v>740</v>
      </c>
      <c r="D53" s="166">
        <v>92.9</v>
      </c>
      <c r="E53" s="166">
        <f>D53</f>
        <v>92.9</v>
      </c>
      <c r="F53" s="166">
        <v>85</v>
      </c>
      <c r="G53" s="166">
        <f>F53</f>
        <v>85</v>
      </c>
      <c r="H53" s="166">
        <f>+G53</f>
        <v>85</v>
      </c>
      <c r="I53" s="166">
        <f>H53</f>
        <v>85</v>
      </c>
      <c r="K53" s="166"/>
      <c r="L53" s="65"/>
      <c r="M53" s="65"/>
    </row>
    <row r="54" spans="2:13" x14ac:dyDescent="0.2">
      <c r="B54" s="298" t="s">
        <v>229</v>
      </c>
      <c r="D54" s="166">
        <v>29.9</v>
      </c>
      <c r="E54" s="166">
        <f>D54</f>
        <v>29.9</v>
      </c>
      <c r="F54" s="166">
        <f>((E54)-10)+5</f>
        <v>24.9</v>
      </c>
      <c r="G54" s="166">
        <f>F54</f>
        <v>24.9</v>
      </c>
      <c r="H54" s="166">
        <f>G54</f>
        <v>24.9</v>
      </c>
      <c r="I54" s="166">
        <f>H54</f>
        <v>24.9</v>
      </c>
      <c r="K54" s="166"/>
      <c r="L54" s="65"/>
      <c r="M54" s="65"/>
    </row>
    <row r="55" spans="2:13" x14ac:dyDescent="0.2">
      <c r="B55" s="298" t="s">
        <v>230</v>
      </c>
      <c r="D55" s="166">
        <v>0</v>
      </c>
      <c r="E55" s="166">
        <v>0</v>
      </c>
      <c r="F55" s="166">
        <v>5</v>
      </c>
      <c r="G55" s="166">
        <f>F55</f>
        <v>5</v>
      </c>
      <c r="H55" s="166">
        <f>G55</f>
        <v>5</v>
      </c>
      <c r="I55" s="166">
        <f>H55</f>
        <v>5</v>
      </c>
      <c r="K55" s="166"/>
      <c r="L55" s="65"/>
      <c r="M55" s="65"/>
    </row>
    <row r="56" spans="2:13" x14ac:dyDescent="0.2">
      <c r="B56" s="298"/>
      <c r="D56" s="166"/>
      <c r="E56" s="166"/>
      <c r="F56" s="166"/>
      <c r="G56" s="166"/>
      <c r="H56" s="166"/>
      <c r="I56" s="166"/>
      <c r="K56" s="463"/>
      <c r="L56" s="65"/>
      <c r="M56" s="65"/>
    </row>
    <row r="57" spans="2:13" x14ac:dyDescent="0.2">
      <c r="B57" s="80" t="s">
        <v>879</v>
      </c>
      <c r="D57" s="826" t="s">
        <v>252</v>
      </c>
      <c r="E57" s="826"/>
      <c r="F57" s="826"/>
      <c r="G57" s="826"/>
      <c r="H57" s="826"/>
      <c r="I57" s="826"/>
      <c r="K57" s="463"/>
      <c r="L57" s="65"/>
      <c r="M57" s="65"/>
    </row>
    <row r="58" spans="2:13" x14ac:dyDescent="0.2">
      <c r="B58" s="298" t="s">
        <v>151</v>
      </c>
      <c r="D58" s="166">
        <v>50.1</v>
      </c>
      <c r="E58" s="166">
        <f t="shared" ref="E58:I63" si="6">D58</f>
        <v>50.1</v>
      </c>
      <c r="F58" s="166">
        <f t="shared" si="6"/>
        <v>50.1</v>
      </c>
      <c r="G58" s="166">
        <f t="shared" si="6"/>
        <v>50.1</v>
      </c>
      <c r="H58" s="166">
        <f t="shared" si="6"/>
        <v>50.1</v>
      </c>
      <c r="I58" s="166">
        <f t="shared" si="6"/>
        <v>50.1</v>
      </c>
      <c r="K58" s="166"/>
      <c r="L58" s="65"/>
      <c r="M58" s="65"/>
    </row>
    <row r="59" spans="2:13" x14ac:dyDescent="0.2">
      <c r="B59" s="298" t="s">
        <v>152</v>
      </c>
      <c r="D59" s="166">
        <v>123.6</v>
      </c>
      <c r="E59" s="166">
        <f t="shared" si="6"/>
        <v>123.6</v>
      </c>
      <c r="F59" s="166">
        <f t="shared" si="6"/>
        <v>123.6</v>
      </c>
      <c r="G59" s="166">
        <f t="shared" si="6"/>
        <v>123.6</v>
      </c>
      <c r="H59" s="166">
        <f t="shared" si="6"/>
        <v>123.6</v>
      </c>
      <c r="I59" s="166">
        <f t="shared" si="6"/>
        <v>123.6</v>
      </c>
      <c r="K59" s="166"/>
      <c r="L59" s="65"/>
      <c r="M59" s="65"/>
    </row>
    <row r="60" spans="2:13" x14ac:dyDescent="0.2">
      <c r="B60" s="298" t="s">
        <v>739</v>
      </c>
      <c r="D60" s="166">
        <v>21.8</v>
      </c>
      <c r="E60" s="166">
        <f t="shared" si="6"/>
        <v>21.8</v>
      </c>
      <c r="F60" s="166">
        <f t="shared" si="6"/>
        <v>21.8</v>
      </c>
      <c r="G60" s="166">
        <f t="shared" si="6"/>
        <v>21.8</v>
      </c>
      <c r="H60" s="166">
        <f t="shared" si="6"/>
        <v>21.8</v>
      </c>
      <c r="I60" s="166">
        <f t="shared" si="6"/>
        <v>21.8</v>
      </c>
      <c r="K60" s="166"/>
      <c r="L60" s="65"/>
      <c r="M60" s="65"/>
    </row>
    <row r="61" spans="2:13" x14ac:dyDescent="0.2">
      <c r="B61" s="298" t="s">
        <v>740</v>
      </c>
      <c r="D61" s="166">
        <v>21.8</v>
      </c>
      <c r="E61" s="166">
        <f t="shared" si="6"/>
        <v>21.8</v>
      </c>
      <c r="F61" s="166">
        <f t="shared" si="6"/>
        <v>21.8</v>
      </c>
      <c r="G61" s="166">
        <f t="shared" si="6"/>
        <v>21.8</v>
      </c>
      <c r="H61" s="166">
        <f t="shared" si="6"/>
        <v>21.8</v>
      </c>
      <c r="I61" s="166">
        <f t="shared" si="6"/>
        <v>21.8</v>
      </c>
      <c r="K61" s="166"/>
      <c r="L61" s="65"/>
      <c r="M61" s="65"/>
    </row>
    <row r="62" spans="2:13" x14ac:dyDescent="0.2">
      <c r="B62" s="298" t="s">
        <v>229</v>
      </c>
      <c r="D62" s="166">
        <v>3.2</v>
      </c>
      <c r="E62" s="166">
        <f t="shared" si="6"/>
        <v>3.2</v>
      </c>
      <c r="F62" s="166">
        <f t="shared" si="6"/>
        <v>3.2</v>
      </c>
      <c r="G62" s="166">
        <f t="shared" si="6"/>
        <v>3.2</v>
      </c>
      <c r="H62" s="166">
        <f t="shared" si="6"/>
        <v>3.2</v>
      </c>
      <c r="I62" s="166">
        <f t="shared" si="6"/>
        <v>3.2</v>
      </c>
      <c r="K62" s="166"/>
      <c r="L62" s="65"/>
      <c r="M62" s="65"/>
    </row>
    <row r="63" spans="2:13" x14ac:dyDescent="0.2">
      <c r="B63" s="298" t="s">
        <v>230</v>
      </c>
      <c r="D63" s="166">
        <v>0</v>
      </c>
      <c r="E63" s="166">
        <f t="shared" si="6"/>
        <v>0</v>
      </c>
      <c r="F63" s="166">
        <f t="shared" si="6"/>
        <v>0</v>
      </c>
      <c r="G63" s="166">
        <f t="shared" si="6"/>
        <v>0</v>
      </c>
      <c r="H63" s="166">
        <f t="shared" si="6"/>
        <v>0</v>
      </c>
      <c r="I63" s="166">
        <f t="shared" si="6"/>
        <v>0</v>
      </c>
      <c r="K63" s="166"/>
      <c r="L63" s="65"/>
      <c r="M63" s="65"/>
    </row>
    <row r="64" spans="2:13" x14ac:dyDescent="0.2">
      <c r="B64" s="298"/>
      <c r="D64" s="166"/>
      <c r="E64" s="166"/>
      <c r="F64" s="166"/>
      <c r="G64" s="166"/>
      <c r="H64" s="166"/>
      <c r="I64" s="166"/>
      <c r="K64" s="463"/>
      <c r="L64" s="65"/>
      <c r="M64" s="65"/>
    </row>
    <row r="65" spans="2:13" x14ac:dyDescent="0.2">
      <c r="B65" s="80" t="s">
        <v>879</v>
      </c>
      <c r="D65" s="826" t="s">
        <v>16</v>
      </c>
      <c r="E65" s="826"/>
      <c r="F65" s="826"/>
      <c r="G65" s="826"/>
      <c r="H65" s="826"/>
      <c r="I65" s="826"/>
      <c r="K65" s="463"/>
      <c r="L65" s="65"/>
      <c r="M65" s="65"/>
    </row>
    <row r="66" spans="2:13" x14ac:dyDescent="0.2">
      <c r="B66" s="298" t="s">
        <v>151</v>
      </c>
      <c r="D66" s="166">
        <v>84.9</v>
      </c>
      <c r="E66" s="166">
        <f>D66</f>
        <v>84.9</v>
      </c>
      <c r="F66" s="166">
        <f>E66</f>
        <v>84.9</v>
      </c>
      <c r="G66" s="166">
        <f>F66</f>
        <v>84.9</v>
      </c>
      <c r="H66" s="166">
        <f>G66</f>
        <v>84.9</v>
      </c>
      <c r="I66" s="166">
        <f>H66</f>
        <v>84.9</v>
      </c>
      <c r="K66" s="166"/>
      <c r="L66" s="65"/>
      <c r="M66" s="65"/>
    </row>
    <row r="67" spans="2:13" x14ac:dyDescent="0.2">
      <c r="B67" s="298" t="s">
        <v>152</v>
      </c>
      <c r="D67" s="166">
        <v>87.8</v>
      </c>
      <c r="E67" s="166">
        <f t="shared" ref="E67:I71" si="7">D67</f>
        <v>87.8</v>
      </c>
      <c r="F67" s="166">
        <f t="shared" si="7"/>
        <v>87.8</v>
      </c>
      <c r="G67" s="166">
        <f t="shared" si="7"/>
        <v>87.8</v>
      </c>
      <c r="H67" s="166">
        <f t="shared" si="7"/>
        <v>87.8</v>
      </c>
      <c r="I67" s="166">
        <f t="shared" si="7"/>
        <v>87.8</v>
      </c>
      <c r="K67" s="166"/>
      <c r="L67" s="65"/>
      <c r="M67" s="65"/>
    </row>
    <row r="68" spans="2:13" x14ac:dyDescent="0.2">
      <c r="B68" s="298" t="s">
        <v>739</v>
      </c>
      <c r="D68" s="166">
        <v>44.6</v>
      </c>
      <c r="E68" s="166">
        <f t="shared" si="7"/>
        <v>44.6</v>
      </c>
      <c r="F68" s="166">
        <f t="shared" si="7"/>
        <v>44.6</v>
      </c>
      <c r="G68" s="166">
        <f t="shared" si="7"/>
        <v>44.6</v>
      </c>
      <c r="H68" s="166">
        <f t="shared" si="7"/>
        <v>44.6</v>
      </c>
      <c r="I68" s="166">
        <f t="shared" si="7"/>
        <v>44.6</v>
      </c>
      <c r="K68" s="166"/>
      <c r="L68" s="65"/>
      <c r="M68" s="65"/>
    </row>
    <row r="69" spans="2:13" x14ac:dyDescent="0.2">
      <c r="B69" s="298" t="s">
        <v>740</v>
      </c>
      <c r="D69" s="166">
        <v>44.6</v>
      </c>
      <c r="E69" s="166">
        <f t="shared" si="7"/>
        <v>44.6</v>
      </c>
      <c r="F69" s="166">
        <f t="shared" si="7"/>
        <v>44.6</v>
      </c>
      <c r="G69" s="166">
        <f t="shared" si="7"/>
        <v>44.6</v>
      </c>
      <c r="H69" s="166">
        <f t="shared" si="7"/>
        <v>44.6</v>
      </c>
      <c r="I69" s="166">
        <f t="shared" si="7"/>
        <v>44.6</v>
      </c>
      <c r="K69" s="166"/>
      <c r="L69" s="65"/>
      <c r="M69" s="65"/>
    </row>
    <row r="70" spans="2:13" x14ac:dyDescent="0.2">
      <c r="B70" s="298" t="s">
        <v>229</v>
      </c>
      <c r="D70" s="166">
        <v>14</v>
      </c>
      <c r="E70" s="166">
        <f t="shared" si="7"/>
        <v>14</v>
      </c>
      <c r="F70" s="166">
        <f t="shared" si="7"/>
        <v>14</v>
      </c>
      <c r="G70" s="166">
        <f t="shared" si="7"/>
        <v>14</v>
      </c>
      <c r="H70" s="166">
        <f t="shared" si="7"/>
        <v>14</v>
      </c>
      <c r="I70" s="166">
        <f t="shared" si="7"/>
        <v>14</v>
      </c>
      <c r="K70" s="166"/>
      <c r="L70" s="65"/>
      <c r="M70" s="65"/>
    </row>
    <row r="71" spans="2:13" x14ac:dyDescent="0.2">
      <c r="B71" s="298" t="s">
        <v>230</v>
      </c>
      <c r="D71" s="166">
        <v>0</v>
      </c>
      <c r="E71" s="166">
        <f t="shared" si="7"/>
        <v>0</v>
      </c>
      <c r="F71" s="166">
        <f t="shared" si="7"/>
        <v>0</v>
      </c>
      <c r="G71" s="166">
        <f t="shared" si="7"/>
        <v>0</v>
      </c>
      <c r="H71" s="166">
        <f t="shared" si="7"/>
        <v>0</v>
      </c>
      <c r="I71" s="166">
        <v>0</v>
      </c>
      <c r="K71" s="166"/>
      <c r="L71" s="65"/>
      <c r="M71" s="65"/>
    </row>
    <row r="72" spans="2:13" x14ac:dyDescent="0.2">
      <c r="B72" s="298"/>
      <c r="D72" s="166"/>
      <c r="E72" s="166"/>
      <c r="F72" s="166"/>
      <c r="G72" s="166"/>
      <c r="H72" s="166"/>
      <c r="I72" s="166"/>
      <c r="J72" s="463"/>
      <c r="K72" s="463"/>
      <c r="L72" s="65"/>
      <c r="M72" s="65"/>
    </row>
    <row r="73" spans="2:13" x14ac:dyDescent="0.2">
      <c r="B73" s="80" t="s">
        <v>406</v>
      </c>
      <c r="D73" s="80"/>
      <c r="E73" s="80"/>
      <c r="F73" s="80"/>
      <c r="G73" s="80"/>
      <c r="H73" s="80"/>
      <c r="I73" s="166"/>
      <c r="J73" s="463"/>
      <c r="K73" s="463"/>
      <c r="L73" s="65"/>
      <c r="M73" s="65"/>
    </row>
    <row r="74" spans="2:13" x14ac:dyDescent="0.2">
      <c r="B74" s="298" t="s">
        <v>151</v>
      </c>
      <c r="D74" s="166">
        <f t="shared" ref="D74:E79" si="8">D34*D50/180</f>
        <v>25382.550091074681</v>
      </c>
      <c r="E74" s="166">
        <f t="shared" si="8"/>
        <v>25382.550091074681</v>
      </c>
      <c r="F74" s="166">
        <f t="shared" ref="F74:I77" si="9">F34*F50/360</f>
        <v>22996.067030965391</v>
      </c>
      <c r="G74" s="166">
        <f t="shared" si="9"/>
        <v>23915.909712204011</v>
      </c>
      <c r="H74" s="166">
        <f t="shared" si="9"/>
        <v>24872.546100692172</v>
      </c>
      <c r="I74" s="166">
        <f t="shared" si="9"/>
        <v>25867.447944719861</v>
      </c>
      <c r="J74" s="463"/>
      <c r="K74" s="463"/>
      <c r="L74" s="65"/>
      <c r="M74" s="65"/>
    </row>
    <row r="75" spans="2:13" x14ac:dyDescent="0.2">
      <c r="B75" s="298" t="s">
        <v>152</v>
      </c>
      <c r="D75" s="166">
        <f t="shared" ca="1" si="8"/>
        <v>28287.743691899068</v>
      </c>
      <c r="E75" s="166">
        <f t="shared" ca="1" si="8"/>
        <v>28287.743691899068</v>
      </c>
      <c r="F75" s="166">
        <f t="shared" ca="1" si="9"/>
        <v>26944.287885495058</v>
      </c>
      <c r="G75" s="166">
        <f t="shared" ca="1" si="9"/>
        <v>23349.408587870737</v>
      </c>
      <c r="H75" s="166">
        <f t="shared" ca="1" si="9"/>
        <v>23722.352722443564</v>
      </c>
      <c r="I75" s="166">
        <f t="shared" ca="1" si="9"/>
        <v>23521.045373469078</v>
      </c>
      <c r="J75" s="463"/>
      <c r="K75" s="463"/>
      <c r="L75" s="65"/>
      <c r="M75" s="65"/>
    </row>
    <row r="76" spans="2:13" x14ac:dyDescent="0.2">
      <c r="B76" s="298" t="s">
        <v>739</v>
      </c>
      <c r="D76" s="166">
        <f t="shared" si="8"/>
        <v>48566.730210602756</v>
      </c>
      <c r="E76" s="166">
        <f t="shared" si="8"/>
        <v>48566.730210602756</v>
      </c>
      <c r="F76" s="166">
        <f t="shared" si="9"/>
        <v>46214.197530864192</v>
      </c>
      <c r="G76" s="166">
        <f t="shared" si="9"/>
        <v>48062.765432098779</v>
      </c>
      <c r="H76" s="166">
        <f t="shared" si="9"/>
        <v>49985.276049382715</v>
      </c>
      <c r="I76" s="166">
        <f t="shared" si="9"/>
        <v>51984.687091358028</v>
      </c>
      <c r="J76" s="463"/>
      <c r="K76" s="463"/>
      <c r="L76" s="65"/>
      <c r="M76" s="65"/>
    </row>
    <row r="77" spans="2:13" x14ac:dyDescent="0.2">
      <c r="B77" s="298" t="s">
        <v>740</v>
      </c>
      <c r="D77" s="166">
        <f t="shared" si="8"/>
        <v>211662.47957516342</v>
      </c>
      <c r="E77" s="166">
        <f t="shared" si="8"/>
        <v>196048.72698801744</v>
      </c>
      <c r="F77" s="166">
        <f t="shared" si="9"/>
        <v>186552.28703703702</v>
      </c>
      <c r="G77" s="166">
        <f t="shared" si="9"/>
        <v>194014.37851851847</v>
      </c>
      <c r="H77" s="166">
        <f t="shared" si="9"/>
        <v>201774.95365925925</v>
      </c>
      <c r="I77" s="166">
        <f t="shared" si="9"/>
        <v>209845.95180562962</v>
      </c>
      <c r="J77" s="463"/>
      <c r="K77" s="463"/>
      <c r="L77" s="65"/>
      <c r="M77" s="65"/>
    </row>
    <row r="78" spans="2:13" x14ac:dyDescent="0.2">
      <c r="B78" s="298" t="s">
        <v>229</v>
      </c>
      <c r="D78" s="166">
        <f t="shared" si="8"/>
        <v>68771.100073583511</v>
      </c>
      <c r="E78" s="166">
        <f t="shared" si="8"/>
        <v>68771.100073583511</v>
      </c>
      <c r="F78" s="166">
        <f t="shared" ref="F78:I79" si="10">F38*F54/360</f>
        <v>59561.752759381889</v>
      </c>
      <c r="G78" s="166">
        <f t="shared" si="10"/>
        <v>61944.22286975717</v>
      </c>
      <c r="H78" s="166">
        <f t="shared" si="10"/>
        <v>64421.991784547463</v>
      </c>
      <c r="I78" s="166">
        <f t="shared" si="10"/>
        <v>66998.871455929358</v>
      </c>
      <c r="J78" s="463"/>
      <c r="K78" s="463"/>
      <c r="L78" s="65"/>
      <c r="M78" s="65"/>
    </row>
    <row r="79" spans="2:13" x14ac:dyDescent="0.2">
      <c r="B79" s="298" t="s">
        <v>230</v>
      </c>
      <c r="D79" s="166">
        <f t="shared" si="8"/>
        <v>0</v>
      </c>
      <c r="E79" s="166">
        <f t="shared" si="8"/>
        <v>0</v>
      </c>
      <c r="F79" s="166">
        <f t="shared" si="10"/>
        <v>156.35388888888886</v>
      </c>
      <c r="G79" s="166">
        <f t="shared" si="10"/>
        <v>162.60804444444446</v>
      </c>
      <c r="H79" s="166">
        <f t="shared" si="10"/>
        <v>169.11236622222225</v>
      </c>
      <c r="I79" s="166">
        <f t="shared" si="10"/>
        <v>175.87686087111112</v>
      </c>
      <c r="J79" s="463"/>
      <c r="K79" s="463"/>
      <c r="L79" s="65"/>
      <c r="M79" s="65"/>
    </row>
    <row r="80" spans="2:13" x14ac:dyDescent="0.2">
      <c r="B80" s="298"/>
      <c r="D80" s="166"/>
      <c r="E80" s="166"/>
      <c r="F80" s="166"/>
      <c r="G80" s="166"/>
      <c r="H80" s="166"/>
      <c r="I80" s="166"/>
      <c r="J80" s="463"/>
      <c r="K80" s="463"/>
      <c r="L80" s="65"/>
      <c r="M80" s="65"/>
    </row>
    <row r="81" spans="2:13" x14ac:dyDescent="0.2">
      <c r="B81" s="80" t="s">
        <v>252</v>
      </c>
      <c r="D81" s="80"/>
      <c r="E81" s="80"/>
      <c r="F81" s="80"/>
      <c r="G81" s="80"/>
      <c r="H81" s="80"/>
      <c r="I81" s="166"/>
      <c r="J81" s="463"/>
      <c r="K81" s="463"/>
      <c r="L81" s="65"/>
      <c r="M81" s="65"/>
    </row>
    <row r="82" spans="2:13" x14ac:dyDescent="0.2">
      <c r="B82" s="298" t="s">
        <v>151</v>
      </c>
      <c r="D82" s="166">
        <f t="shared" ref="D82:E87" si="11">D34*D58/180</f>
        <v>32774.890710382519</v>
      </c>
      <c r="E82" s="166">
        <f t="shared" si="11"/>
        <v>32774.890710382519</v>
      </c>
      <c r="F82" s="166">
        <f t="shared" ref="F82:I85" si="12">F34*F58/360</f>
        <v>34085.88633879782</v>
      </c>
      <c r="G82" s="166">
        <f t="shared" si="12"/>
        <v>35449.321792349729</v>
      </c>
      <c r="H82" s="166">
        <f t="shared" si="12"/>
        <v>36867.294664043729</v>
      </c>
      <c r="I82" s="166">
        <f t="shared" si="12"/>
        <v>38341.98645060548</v>
      </c>
      <c r="J82" s="463"/>
      <c r="K82" s="463"/>
      <c r="L82" s="65"/>
      <c r="M82" s="65"/>
    </row>
    <row r="83" spans="2:13" x14ac:dyDescent="0.2">
      <c r="B83" s="298" t="s">
        <v>152</v>
      </c>
      <c r="D83" s="166">
        <f t="shared" ca="1" si="11"/>
        <v>45823.920318725097</v>
      </c>
      <c r="E83" s="166">
        <f t="shared" ca="1" si="11"/>
        <v>45823.920318725097</v>
      </c>
      <c r="F83" s="166">
        <f t="shared" ca="1" si="12"/>
        <v>46708.471004869418</v>
      </c>
      <c r="G83" s="166">
        <f t="shared" ca="1" si="12"/>
        <v>40476.674634794159</v>
      </c>
      <c r="H83" s="166">
        <f t="shared" ca="1" si="12"/>
        <v>41123.180876494029</v>
      </c>
      <c r="I83" s="166">
        <f t="shared" ca="1" si="12"/>
        <v>40774.210493138547</v>
      </c>
      <c r="J83" s="463"/>
      <c r="K83" s="463"/>
      <c r="L83" s="65"/>
      <c r="M83" s="65"/>
    </row>
    <row r="84" spans="2:13" x14ac:dyDescent="0.2">
      <c r="B84" s="298" t="s">
        <v>739</v>
      </c>
      <c r="D84" s="166">
        <f t="shared" si="11"/>
        <v>11396.713870733478</v>
      </c>
      <c r="E84" s="166">
        <f t="shared" si="11"/>
        <v>11396.713870733478</v>
      </c>
      <c r="F84" s="166">
        <f t="shared" si="12"/>
        <v>11852.582425562818</v>
      </c>
      <c r="G84" s="166">
        <f t="shared" si="12"/>
        <v>12326.685722585333</v>
      </c>
      <c r="H84" s="166">
        <f t="shared" si="12"/>
        <v>12819.753151488743</v>
      </c>
      <c r="I84" s="166">
        <f t="shared" si="12"/>
        <v>13332.543277548295</v>
      </c>
      <c r="J84" s="463"/>
      <c r="K84" s="463"/>
      <c r="L84" s="65"/>
      <c r="M84" s="65"/>
    </row>
    <row r="85" spans="2:13" x14ac:dyDescent="0.2">
      <c r="B85" s="298" t="s">
        <v>740</v>
      </c>
      <c r="D85" s="166">
        <f t="shared" si="11"/>
        <v>49668.913398692806</v>
      </c>
      <c r="E85" s="166">
        <f t="shared" si="11"/>
        <v>46004.975762527232</v>
      </c>
      <c r="F85" s="166">
        <f t="shared" si="12"/>
        <v>47845.174793028324</v>
      </c>
      <c r="G85" s="166">
        <f t="shared" si="12"/>
        <v>49758.981784749441</v>
      </c>
      <c r="H85" s="166">
        <f t="shared" si="12"/>
        <v>51749.341056139427</v>
      </c>
      <c r="I85" s="166">
        <f t="shared" si="12"/>
        <v>53819.314698385009</v>
      </c>
      <c r="J85" s="463"/>
      <c r="K85" s="463"/>
      <c r="L85" s="65"/>
      <c r="M85" s="65"/>
    </row>
    <row r="86" spans="2:13" x14ac:dyDescent="0.2">
      <c r="B86" s="298" t="s">
        <v>229</v>
      </c>
      <c r="D86" s="166">
        <f t="shared" si="11"/>
        <v>7360.1177336276678</v>
      </c>
      <c r="E86" s="166">
        <f t="shared" si="11"/>
        <v>7360.1177336276678</v>
      </c>
      <c r="F86" s="166">
        <f t="shared" ref="F86:I87" si="13">F38*F62/360</f>
        <v>7654.5224429727741</v>
      </c>
      <c r="G86" s="166">
        <f t="shared" si="13"/>
        <v>7960.7033406916853</v>
      </c>
      <c r="H86" s="166">
        <f t="shared" si="13"/>
        <v>8279.1314743193543</v>
      </c>
      <c r="I86" s="166">
        <f t="shared" si="13"/>
        <v>8610.2967332921271</v>
      </c>
      <c r="J86" s="463"/>
      <c r="K86" s="463"/>
      <c r="L86" s="65"/>
      <c r="M86" s="65"/>
    </row>
    <row r="87" spans="2:13" x14ac:dyDescent="0.2">
      <c r="B87" s="298" t="s">
        <v>230</v>
      </c>
      <c r="D87" s="166">
        <f t="shared" si="11"/>
        <v>0</v>
      </c>
      <c r="E87" s="166">
        <f t="shared" si="11"/>
        <v>0</v>
      </c>
      <c r="F87" s="166">
        <f t="shared" si="13"/>
        <v>0</v>
      </c>
      <c r="G87" s="166">
        <f t="shared" si="13"/>
        <v>0</v>
      </c>
      <c r="H87" s="166">
        <f t="shared" si="13"/>
        <v>0</v>
      </c>
      <c r="I87" s="166">
        <f t="shared" si="13"/>
        <v>0</v>
      </c>
      <c r="J87" s="463"/>
      <c r="K87" s="463"/>
      <c r="L87" s="65"/>
      <c r="M87" s="65"/>
    </row>
    <row r="88" spans="2:13" x14ac:dyDescent="0.2">
      <c r="B88" s="298"/>
      <c r="D88" s="166"/>
      <c r="E88" s="166"/>
      <c r="F88" s="166"/>
      <c r="G88" s="166"/>
      <c r="H88" s="166"/>
      <c r="I88" s="166"/>
      <c r="J88" s="463"/>
      <c r="K88" s="463"/>
      <c r="L88" s="65"/>
      <c r="M88" s="65"/>
    </row>
    <row r="89" spans="2:13" x14ac:dyDescent="0.2">
      <c r="B89" s="80" t="s">
        <v>16</v>
      </c>
      <c r="D89" s="80"/>
      <c r="E89" s="80"/>
      <c r="F89" s="80"/>
      <c r="G89" s="80"/>
      <c r="H89" s="80"/>
      <c r="I89" s="166"/>
      <c r="J89" s="463"/>
      <c r="K89" s="463"/>
      <c r="L89" s="65"/>
      <c r="M89" s="65"/>
    </row>
    <row r="90" spans="2:13" x14ac:dyDescent="0.2">
      <c r="B90" s="298" t="s">
        <v>151</v>
      </c>
      <c r="D90" s="166">
        <f t="shared" ref="D90:E95" si="14">D42*D66/180</f>
        <v>53846.692226775966</v>
      </c>
      <c r="E90" s="166">
        <f t="shared" si="14"/>
        <v>53846.692226775966</v>
      </c>
      <c r="F90" s="166">
        <f t="shared" ref="F90:I93" si="15">F42*F66/360</f>
        <v>56000.559915847</v>
      </c>
      <c r="G90" s="166">
        <f t="shared" si="15"/>
        <v>58240.582312480889</v>
      </c>
      <c r="H90" s="166">
        <f t="shared" si="15"/>
        <v>60570.205604980132</v>
      </c>
      <c r="I90" s="166">
        <f t="shared" si="15"/>
        <v>62993.013829179334</v>
      </c>
      <c r="J90" s="463"/>
      <c r="K90" s="463"/>
      <c r="L90" s="65"/>
      <c r="M90" s="65"/>
    </row>
    <row r="91" spans="2:13" x14ac:dyDescent="0.2">
      <c r="B91" s="298" t="s">
        <v>152</v>
      </c>
      <c r="D91" s="166">
        <f t="shared" ca="1" si="14"/>
        <v>30100.18354873838</v>
      </c>
      <c r="E91" s="166">
        <f t="shared" ca="1" si="14"/>
        <v>30100.18354873838</v>
      </c>
      <c r="F91" s="166">
        <f t="shared" ca="1" si="15"/>
        <v>30681.214980050172</v>
      </c>
      <c r="G91" s="166">
        <f t="shared" ca="1" si="15"/>
        <v>26587.758696237273</v>
      </c>
      <c r="H91" s="166">
        <f t="shared" ca="1" si="15"/>
        <v>27012.42678236388</v>
      </c>
      <c r="I91" s="166">
        <f t="shared" ca="1" si="15"/>
        <v>26783.199939286875</v>
      </c>
      <c r="J91" s="463"/>
      <c r="K91" s="463"/>
      <c r="L91" s="65"/>
      <c r="M91" s="65"/>
    </row>
    <row r="92" spans="2:13" x14ac:dyDescent="0.2">
      <c r="B92" s="298" t="s">
        <v>739</v>
      </c>
      <c r="D92" s="166">
        <f t="shared" si="14"/>
        <v>22364.911299927378</v>
      </c>
      <c r="E92" s="166">
        <f t="shared" si="14"/>
        <v>22364.911299927378</v>
      </c>
      <c r="F92" s="166">
        <f t="shared" si="15"/>
        <v>23259.507751924473</v>
      </c>
      <c r="G92" s="166">
        <f t="shared" si="15"/>
        <v>24189.888062001461</v>
      </c>
      <c r="H92" s="166">
        <f t="shared" si="15"/>
        <v>25157.483584481513</v>
      </c>
      <c r="I92" s="166">
        <f t="shared" si="15"/>
        <v>26163.782927860775</v>
      </c>
      <c r="J92" s="463"/>
      <c r="K92" s="463"/>
      <c r="L92" s="65"/>
      <c r="M92" s="65"/>
    </row>
    <row r="93" spans="2:13" x14ac:dyDescent="0.2">
      <c r="B93" s="298" t="s">
        <v>740</v>
      </c>
      <c r="D93" s="166">
        <f t="shared" si="14"/>
        <v>97470.27565359477</v>
      </c>
      <c r="E93" s="166">
        <f t="shared" si="14"/>
        <v>90280.164436383435</v>
      </c>
      <c r="F93" s="166">
        <f t="shared" si="15"/>
        <v>93891.371013838783</v>
      </c>
      <c r="G93" s="166">
        <f t="shared" si="15"/>
        <v>97647.025854392312</v>
      </c>
      <c r="H93" s="166">
        <f t="shared" si="15"/>
        <v>101552.906888568</v>
      </c>
      <c r="I93" s="166">
        <f t="shared" si="15"/>
        <v>105615.02316411075</v>
      </c>
      <c r="J93" s="463"/>
      <c r="K93" s="463"/>
      <c r="L93" s="65"/>
      <c r="M93" s="65"/>
    </row>
    <row r="94" spans="2:13" x14ac:dyDescent="0.2">
      <c r="B94" s="298" t="s">
        <v>229</v>
      </c>
      <c r="D94" s="166">
        <f t="shared" si="14"/>
        <v>31714.287306843267</v>
      </c>
      <c r="E94" s="166">
        <f t="shared" si="14"/>
        <v>31714.287306843267</v>
      </c>
      <c r="F94" s="166">
        <f t="shared" ref="F94:I95" si="16">F46*F70/360</f>
        <v>32982.858799116999</v>
      </c>
      <c r="G94" s="166">
        <f t="shared" si="16"/>
        <v>34302.173151081675</v>
      </c>
      <c r="H94" s="166">
        <f t="shared" si="16"/>
        <v>35674.260077124949</v>
      </c>
      <c r="I94" s="166">
        <f t="shared" si="16"/>
        <v>37101.230480209946</v>
      </c>
      <c r="J94" s="463"/>
      <c r="K94" s="463"/>
      <c r="L94" s="65"/>
      <c r="M94" s="65"/>
    </row>
    <row r="95" spans="2:13" x14ac:dyDescent="0.2">
      <c r="B95" s="298" t="s">
        <v>230</v>
      </c>
      <c r="D95" s="166">
        <f t="shared" si="14"/>
        <v>0</v>
      </c>
      <c r="E95" s="166">
        <f t="shared" si="14"/>
        <v>0</v>
      </c>
      <c r="F95" s="166">
        <f t="shared" si="16"/>
        <v>0</v>
      </c>
      <c r="G95" s="166">
        <f t="shared" si="16"/>
        <v>0</v>
      </c>
      <c r="H95" s="166">
        <f t="shared" si="16"/>
        <v>0</v>
      </c>
      <c r="I95" s="166">
        <f t="shared" si="16"/>
        <v>0</v>
      </c>
      <c r="J95" s="463"/>
      <c r="K95" s="463"/>
      <c r="L95" s="65"/>
      <c r="M95" s="65"/>
    </row>
    <row r="96" spans="2:13" x14ac:dyDescent="0.2">
      <c r="B96" s="298"/>
      <c r="D96" s="166"/>
      <c r="E96" s="166"/>
      <c r="F96" s="166"/>
      <c r="G96" s="166"/>
      <c r="H96" s="166"/>
      <c r="I96" s="166"/>
      <c r="J96" s="463"/>
      <c r="K96" s="463"/>
      <c r="L96" s="65"/>
      <c r="M96" s="65"/>
    </row>
    <row r="97" spans="2:13" x14ac:dyDescent="0.2">
      <c r="B97" s="80" t="s">
        <v>247</v>
      </c>
      <c r="D97" s="166">
        <f t="shared" ref="D97:I97" ca="1" si="17">SUM(D74:D79)</f>
        <v>382670.6036423234</v>
      </c>
      <c r="E97" s="166">
        <f t="shared" ca="1" si="17"/>
        <v>367056.85105517751</v>
      </c>
      <c r="F97" s="166">
        <f t="shared" ca="1" si="17"/>
        <v>342424.9461326325</v>
      </c>
      <c r="G97" s="166">
        <f t="shared" ca="1" si="17"/>
        <v>351449.29316489364</v>
      </c>
      <c r="H97" s="166">
        <f t="shared" ca="1" si="17"/>
        <v>364946.23268254736</v>
      </c>
      <c r="I97" s="166">
        <f t="shared" ca="1" si="17"/>
        <v>378393.88053197705</v>
      </c>
      <c r="J97" s="463"/>
      <c r="K97" s="463"/>
      <c r="L97" s="65"/>
      <c r="M97" s="65"/>
    </row>
    <row r="98" spans="2:13" x14ac:dyDescent="0.2">
      <c r="B98" s="80" t="s">
        <v>252</v>
      </c>
      <c r="D98" s="166">
        <f t="shared" ref="D98:I98" ca="1" si="18">SUM(D82:D87)</f>
        <v>147024.55603216158</v>
      </c>
      <c r="E98" s="166">
        <f t="shared" ca="1" si="18"/>
        <v>143360.61839599599</v>
      </c>
      <c r="F98" s="166">
        <f t="shared" ca="1" si="18"/>
        <v>148146.63700523117</v>
      </c>
      <c r="G98" s="166">
        <f t="shared" ca="1" si="18"/>
        <v>145972.36727517034</v>
      </c>
      <c r="H98" s="166">
        <f t="shared" ca="1" si="18"/>
        <v>150838.70122248528</v>
      </c>
      <c r="I98" s="166">
        <f t="shared" ca="1" si="18"/>
        <v>154878.35165296946</v>
      </c>
      <c r="J98" s="463"/>
      <c r="K98" s="463"/>
      <c r="L98" s="65"/>
      <c r="M98" s="65"/>
    </row>
    <row r="99" spans="2:13" x14ac:dyDescent="0.2">
      <c r="B99" s="80" t="s">
        <v>249</v>
      </c>
      <c r="D99" s="166">
        <f t="shared" ref="D99:I99" ca="1" si="19">SUM(D90:D95)</f>
        <v>235496.35003587976</v>
      </c>
      <c r="E99" s="166">
        <f t="shared" ca="1" si="19"/>
        <v>228306.23881866841</v>
      </c>
      <c r="F99" s="166">
        <f t="shared" ca="1" si="19"/>
        <v>236815.51246077745</v>
      </c>
      <c r="G99" s="166">
        <f t="shared" ca="1" si="19"/>
        <v>240967.42807619361</v>
      </c>
      <c r="H99" s="166">
        <f t="shared" ca="1" si="19"/>
        <v>249967.28293751847</v>
      </c>
      <c r="I99" s="166">
        <f t="shared" ca="1" si="19"/>
        <v>258656.25034064768</v>
      </c>
      <c r="J99" s="463"/>
      <c r="K99" s="463"/>
      <c r="L99" s="65"/>
      <c r="M99" s="65"/>
    </row>
    <row r="100" spans="2:13" x14ac:dyDescent="0.2">
      <c r="B100" s="298"/>
      <c r="D100" s="166"/>
      <c r="E100" s="166"/>
      <c r="F100" s="166"/>
      <c r="G100" s="166"/>
      <c r="H100" s="166"/>
      <c r="I100" s="166"/>
      <c r="J100" s="463"/>
      <c r="K100" s="463"/>
      <c r="L100" s="65"/>
      <c r="M100" s="65"/>
    </row>
    <row r="101" spans="2:13" x14ac:dyDescent="0.2">
      <c r="B101" t="s">
        <v>247</v>
      </c>
      <c r="D101" s="76">
        <f t="shared" ref="D101:I101" ca="1" si="20">+D97</f>
        <v>382670.6036423234</v>
      </c>
      <c r="E101" s="76">
        <f t="shared" ca="1" si="20"/>
        <v>367056.85105517751</v>
      </c>
      <c r="F101" s="76">
        <f t="shared" ca="1" si="20"/>
        <v>342424.9461326325</v>
      </c>
      <c r="G101" s="76">
        <f t="shared" ca="1" si="20"/>
        <v>351449.29316489364</v>
      </c>
      <c r="H101" s="76">
        <f t="shared" ca="1" si="20"/>
        <v>364946.23268254736</v>
      </c>
      <c r="I101" s="76">
        <f t="shared" ca="1" si="20"/>
        <v>378393.88053197705</v>
      </c>
      <c r="J101" s="254"/>
      <c r="K101" s="254"/>
      <c r="L101" s="65"/>
      <c r="M101" s="65"/>
    </row>
    <row r="102" spans="2:13" x14ac:dyDescent="0.2">
      <c r="B102" t="s">
        <v>252</v>
      </c>
      <c r="D102" s="76">
        <f t="shared" ref="D102:I103" ca="1" si="21">+D98</f>
        <v>147024.55603216158</v>
      </c>
      <c r="E102" s="76">
        <f t="shared" ca="1" si="21"/>
        <v>143360.61839599599</v>
      </c>
      <c r="F102" s="76">
        <f t="shared" ca="1" si="21"/>
        <v>148146.63700523117</v>
      </c>
      <c r="G102" s="76">
        <f t="shared" ca="1" si="21"/>
        <v>145972.36727517034</v>
      </c>
      <c r="H102" s="76">
        <f t="shared" ca="1" si="21"/>
        <v>150838.70122248528</v>
      </c>
      <c r="I102" s="76">
        <f t="shared" ca="1" si="21"/>
        <v>154878.35165296946</v>
      </c>
      <c r="J102" s="254"/>
      <c r="K102" s="254"/>
      <c r="L102" s="65"/>
      <c r="M102" s="65"/>
    </row>
    <row r="103" spans="2:13" ht="15" x14ac:dyDescent="0.35">
      <c r="B103" t="s">
        <v>249</v>
      </c>
      <c r="D103" s="76">
        <f t="shared" ca="1" si="21"/>
        <v>235496.35003587976</v>
      </c>
      <c r="E103" s="76">
        <f t="shared" ca="1" si="21"/>
        <v>228306.23881866841</v>
      </c>
      <c r="F103" s="76">
        <f t="shared" ca="1" si="21"/>
        <v>236815.51246077745</v>
      </c>
      <c r="G103" s="76">
        <f t="shared" ca="1" si="21"/>
        <v>240967.42807619361</v>
      </c>
      <c r="H103" s="76">
        <f t="shared" ca="1" si="21"/>
        <v>249967.28293751847</v>
      </c>
      <c r="I103" s="76">
        <f t="shared" ca="1" si="21"/>
        <v>258656.25034064768</v>
      </c>
      <c r="J103" s="444"/>
      <c r="K103" s="444"/>
      <c r="L103" s="65"/>
      <c r="M103" s="65"/>
    </row>
    <row r="104" spans="2:13" x14ac:dyDescent="0.2">
      <c r="D104" s="65"/>
      <c r="E104" s="65"/>
      <c r="F104" s="65"/>
      <c r="G104" s="76"/>
      <c r="H104" s="76"/>
      <c r="I104" s="76"/>
      <c r="J104" s="254"/>
      <c r="K104" s="254"/>
      <c r="L104" s="65"/>
      <c r="M104" s="65"/>
    </row>
    <row r="105" spans="2:13" x14ac:dyDescent="0.2">
      <c r="B105" t="s">
        <v>880</v>
      </c>
      <c r="D105" s="76">
        <f ca="1">'Balance Sheet'!I47</f>
        <v>187294.20638608455</v>
      </c>
      <c r="E105" s="76">
        <f ca="1">'Balance Sheet'!J47</f>
        <v>138535.22147911851</v>
      </c>
      <c r="F105" s="76">
        <f ca="1">'Balance Sheet'!K47</f>
        <v>113980.47438364639</v>
      </c>
      <c r="G105" s="76">
        <f ca="1">'Balance Sheet'!L47</f>
        <v>113678.23672163056</v>
      </c>
      <c r="H105" s="76">
        <f ca="1">'Balance Sheet'!M47</f>
        <v>119522.15370428242</v>
      </c>
      <c r="I105" s="76">
        <f ca="1">'Balance Sheet'!N47</f>
        <v>124760.29284127895</v>
      </c>
      <c r="K105" s="254"/>
      <c r="L105" s="65"/>
      <c r="M105" s="65"/>
    </row>
    <row r="106" spans="2:13" x14ac:dyDescent="0.2">
      <c r="K106" s="254"/>
      <c r="L106" s="65"/>
      <c r="M106" s="65"/>
    </row>
    <row r="107" spans="2:13" s="134" customFormat="1" x14ac:dyDescent="0.2">
      <c r="D107" s="442"/>
    </row>
    <row r="109" spans="2:13" x14ac:dyDescent="0.2">
      <c r="D109" s="218"/>
    </row>
    <row r="110" spans="2:13" x14ac:dyDescent="0.2">
      <c r="I110" s="121">
        <v>1998</v>
      </c>
      <c r="J110" s="121">
        <v>1999</v>
      </c>
      <c r="K110" s="121">
        <v>2000</v>
      </c>
    </row>
    <row r="112" spans="2:13" x14ac:dyDescent="0.2">
      <c r="B112" t="s">
        <v>256</v>
      </c>
    </row>
    <row r="114" spans="2:11" x14ac:dyDescent="0.2">
      <c r="B114" t="s">
        <v>257</v>
      </c>
    </row>
    <row r="115" spans="2:11" x14ac:dyDescent="0.2">
      <c r="B115" t="s">
        <v>258</v>
      </c>
      <c r="H115" s="65"/>
      <c r="I115" s="65">
        <v>1613</v>
      </c>
      <c r="J115" s="65">
        <v>1697</v>
      </c>
      <c r="K115" s="65">
        <v>2415</v>
      </c>
    </row>
    <row r="116" spans="2:11" x14ac:dyDescent="0.2">
      <c r="B116" t="s">
        <v>259</v>
      </c>
      <c r="H116" s="65"/>
      <c r="I116" s="65">
        <v>472</v>
      </c>
      <c r="J116" s="65">
        <v>455</v>
      </c>
      <c r="K116" s="65">
        <v>362</v>
      </c>
    </row>
    <row r="117" spans="2:11" x14ac:dyDescent="0.2">
      <c r="B117" t="s">
        <v>260</v>
      </c>
      <c r="H117" s="65"/>
      <c r="I117" s="65">
        <v>267</v>
      </c>
      <c r="J117" s="65">
        <v>275</v>
      </c>
      <c r="K117" s="65">
        <v>353</v>
      </c>
    </row>
    <row r="118" spans="2:11" x14ac:dyDescent="0.2">
      <c r="B118" t="s">
        <v>261</v>
      </c>
      <c r="H118" s="65"/>
      <c r="I118" s="65">
        <v>391</v>
      </c>
      <c r="J118" s="65">
        <v>524</v>
      </c>
      <c r="K118" s="65">
        <v>1665</v>
      </c>
    </row>
    <row r="119" spans="2:11" x14ac:dyDescent="0.2">
      <c r="B119" t="s">
        <v>262</v>
      </c>
      <c r="H119" s="65"/>
      <c r="I119" s="65">
        <v>315</v>
      </c>
      <c r="J119" s="65">
        <v>358</v>
      </c>
      <c r="K119" s="65">
        <v>443</v>
      </c>
    </row>
    <row r="120" spans="2:11" x14ac:dyDescent="0.2">
      <c r="H120" s="65"/>
      <c r="I120" s="65"/>
      <c r="J120" s="65"/>
      <c r="K120" s="65"/>
    </row>
    <row r="121" spans="2:11" x14ac:dyDescent="0.2">
      <c r="B121" t="s">
        <v>263</v>
      </c>
      <c r="H121" s="65"/>
      <c r="I121" s="65">
        <f>SUM(I115:I119)</f>
        <v>3058</v>
      </c>
      <c r="J121" s="65">
        <f>SUM(J115:J119)</f>
        <v>3309</v>
      </c>
      <c r="K121" s="65">
        <f>SUM(K115:K119)</f>
        <v>5238</v>
      </c>
    </row>
    <row r="122" spans="2:11" x14ac:dyDescent="0.2">
      <c r="H122" s="65"/>
      <c r="I122" s="65"/>
      <c r="J122" s="65"/>
      <c r="K122" s="65"/>
    </row>
    <row r="123" spans="2:11" x14ac:dyDescent="0.2">
      <c r="B123" t="s">
        <v>264</v>
      </c>
      <c r="H123" s="65"/>
      <c r="I123" s="65">
        <v>10</v>
      </c>
      <c r="J123" s="65">
        <v>1939</v>
      </c>
      <c r="K123" s="65">
        <v>7082</v>
      </c>
    </row>
    <row r="124" spans="2:11" x14ac:dyDescent="0.2">
      <c r="H124" s="65"/>
      <c r="I124" s="65"/>
      <c r="J124" s="65"/>
      <c r="K124" s="65"/>
    </row>
    <row r="125" spans="2:11" x14ac:dyDescent="0.2">
      <c r="B125" t="s">
        <v>265</v>
      </c>
      <c r="H125" s="65"/>
      <c r="I125" s="65">
        <f>+I121+I123</f>
        <v>3068</v>
      </c>
      <c r="J125" s="65">
        <f>+J121+J123</f>
        <v>5248</v>
      </c>
      <c r="K125" s="65">
        <f>+K121+K123</f>
        <v>12320</v>
      </c>
    </row>
  </sheetData>
  <mergeCells count="3">
    <mergeCell ref="D49:I49"/>
    <mergeCell ref="D57:I57"/>
    <mergeCell ref="D65:I65"/>
  </mergeCells>
  <pageMargins left="0.25" right="0.25" top="0.51" bottom="0.5" header="0.5" footer="0.5"/>
  <pageSetup scale="49" orientation="landscape" verticalDpi="2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L23"/>
  <sheetViews>
    <sheetView showGridLines="0" workbookViewId="0">
      <selection activeCell="G16" sqref="G16"/>
    </sheetView>
  </sheetViews>
  <sheetFormatPr defaultRowHeight="12.75" x14ac:dyDescent="0.2"/>
  <cols>
    <col min="6" max="6" width="12.28515625" style="65" bestFit="1" customWidth="1"/>
    <col min="7" max="7" width="11.85546875" bestFit="1" customWidth="1"/>
    <col min="8" max="8" width="12.28515625" style="65" bestFit="1" customWidth="1"/>
    <col min="9" max="9" width="10.28515625" style="65" bestFit="1" customWidth="1"/>
    <col min="10" max="10" width="12.28515625" style="65" bestFit="1" customWidth="1"/>
    <col min="11" max="11" width="10.28515625" style="65" bestFit="1" customWidth="1"/>
    <col min="12" max="12" width="12.28515625" style="65" bestFit="1" customWidth="1"/>
  </cols>
  <sheetData>
    <row r="5" spans="3:11" x14ac:dyDescent="0.2">
      <c r="C5" s="80" t="s">
        <v>871</v>
      </c>
      <c r="I5" s="757" t="s">
        <v>878</v>
      </c>
    </row>
    <row r="6" spans="3:11" x14ac:dyDescent="0.2">
      <c r="J6" s="89"/>
    </row>
    <row r="8" spans="3:11" x14ac:dyDescent="0.2">
      <c r="C8" t="s">
        <v>872</v>
      </c>
      <c r="F8"/>
      <c r="G8" s="65">
        <f ca="1">'S &amp; U'!F13*1000</f>
        <v>220380.20638608449</v>
      </c>
      <c r="I8" s="65" t="s">
        <v>803</v>
      </c>
      <c r="K8" s="123">
        <f ca="1">'Sea-3 NH '!D34</f>
        <v>24145.862525677021</v>
      </c>
    </row>
    <row r="9" spans="3:11" x14ac:dyDescent="0.2">
      <c r="C9" t="s">
        <v>874</v>
      </c>
      <c r="F9"/>
      <c r="G9" s="756">
        <f ca="1">'Balance Sheet'!G37</f>
        <v>128478.9994879872</v>
      </c>
      <c r="I9" s="65" t="s">
        <v>804</v>
      </c>
      <c r="K9" s="123">
        <f ca="1">'Sea-3 Tampa'!D34</f>
        <v>27883.475997714821</v>
      </c>
    </row>
    <row r="10" spans="3:11" x14ac:dyDescent="0.2">
      <c r="C10" t="s">
        <v>873</v>
      </c>
      <c r="G10" s="123">
        <f ca="1">G8-G9</f>
        <v>91901.206898097298</v>
      </c>
      <c r="I10" s="65" t="s">
        <v>807</v>
      </c>
      <c r="K10" s="123">
        <f ca="1">SUM(K8:K9)</f>
        <v>52029.338523391838</v>
      </c>
    </row>
    <row r="11" spans="3:11" x14ac:dyDescent="0.2">
      <c r="C11" s="65"/>
      <c r="D11" s="65"/>
      <c r="E11" s="65"/>
      <c r="G11" s="65"/>
      <c r="K11" s="123"/>
    </row>
    <row r="12" spans="3:11" x14ac:dyDescent="0.2">
      <c r="C12" t="s">
        <v>875</v>
      </c>
      <c r="D12" s="65"/>
      <c r="E12" s="65"/>
      <c r="G12" s="65">
        <f ca="1">K16</f>
        <v>79725.903654932947</v>
      </c>
      <c r="I12" s="65" t="s">
        <v>805</v>
      </c>
      <c r="K12" s="123">
        <f ca="1">'Rail Ops'!D31</f>
        <v>23779.965131541117</v>
      </c>
    </row>
    <row r="13" spans="3:11" x14ac:dyDescent="0.2">
      <c r="C13" t="s">
        <v>876</v>
      </c>
      <c r="D13" s="65"/>
      <c r="E13" s="65"/>
      <c r="G13" s="159">
        <f ca="1">'Balance Sheet'!G20</f>
        <v>28793.353966666666</v>
      </c>
      <c r="I13" s="65" t="s">
        <v>409</v>
      </c>
      <c r="K13" s="123">
        <f>Dep!D4+Dep!D10</f>
        <v>3916.6000000000004</v>
      </c>
    </row>
    <row r="14" spans="3:11" x14ac:dyDescent="0.2">
      <c r="C14" t="s">
        <v>877</v>
      </c>
      <c r="G14" s="66">
        <f ca="1">G12-G13</f>
        <v>50932.549688266285</v>
      </c>
      <c r="I14" s="65" t="s">
        <v>806</v>
      </c>
      <c r="K14" s="123">
        <f ca="1">SUM(K12:K13)</f>
        <v>27696.565131541116</v>
      </c>
    </row>
    <row r="16" spans="3:11" ht="15" x14ac:dyDescent="0.35">
      <c r="C16" t="s">
        <v>873</v>
      </c>
      <c r="G16" s="66">
        <f ca="1">G10-G14</f>
        <v>40968.657209831013</v>
      </c>
      <c r="H16" s="78"/>
      <c r="I16" s="65" t="s">
        <v>808</v>
      </c>
      <c r="K16" s="65">
        <f ca="1">+K10+K14</f>
        <v>79725.903654932947</v>
      </c>
    </row>
    <row r="17" spans="7:12" x14ac:dyDescent="0.2">
      <c r="G17" s="123"/>
    </row>
    <row r="18" spans="7:12" x14ac:dyDescent="0.2">
      <c r="G18" s="123"/>
    </row>
    <row r="20" spans="7:12" x14ac:dyDescent="0.2">
      <c r="H20"/>
      <c r="I20"/>
      <c r="J20"/>
      <c r="K20"/>
      <c r="L20"/>
    </row>
    <row r="23" spans="7:12" ht="15" x14ac:dyDescent="0.35">
      <c r="H23" s="78"/>
    </row>
  </sheetData>
  <pageMargins left="0.75" right="0.75" top="1" bottom="1" header="0.5" footer="0.5"/>
  <pageSetup orientation="landscape" verticalDpi="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C63"/>
  <sheetViews>
    <sheetView topLeftCell="A4" workbookViewId="0">
      <selection activeCell="A30" sqref="A30"/>
    </sheetView>
  </sheetViews>
  <sheetFormatPr defaultRowHeight="12.75" x14ac:dyDescent="0.2"/>
  <sheetData>
    <row r="3" spans="1:2" ht="18" x14ac:dyDescent="0.25">
      <c r="B3" s="171" t="s">
        <v>677</v>
      </c>
    </row>
    <row r="6" spans="1:2" x14ac:dyDescent="0.2">
      <c r="A6" s="611">
        <v>36956</v>
      </c>
    </row>
    <row r="7" spans="1:2" x14ac:dyDescent="0.2">
      <c r="B7" t="s">
        <v>679</v>
      </c>
    </row>
    <row r="8" spans="1:2" x14ac:dyDescent="0.2">
      <c r="B8" t="s">
        <v>747</v>
      </c>
    </row>
    <row r="9" spans="1:2" x14ac:dyDescent="0.2">
      <c r="B9" t="s">
        <v>678</v>
      </c>
    </row>
    <row r="10" spans="1:2" x14ac:dyDescent="0.2">
      <c r="B10" t="s">
        <v>680</v>
      </c>
    </row>
    <row r="12" spans="1:2" x14ac:dyDescent="0.2">
      <c r="A12" s="611">
        <v>36957</v>
      </c>
    </row>
    <row r="13" spans="1:2" x14ac:dyDescent="0.2">
      <c r="B13" t="s">
        <v>718</v>
      </c>
    </row>
    <row r="15" spans="1:2" x14ac:dyDescent="0.2">
      <c r="A15" s="611">
        <v>36959</v>
      </c>
    </row>
    <row r="16" spans="1:2" x14ac:dyDescent="0.2">
      <c r="B16" t="s">
        <v>743</v>
      </c>
    </row>
    <row r="17" spans="1:3" x14ac:dyDescent="0.2">
      <c r="B17" t="s">
        <v>744</v>
      </c>
    </row>
    <row r="18" spans="1:3" x14ac:dyDescent="0.2">
      <c r="B18" t="s">
        <v>745</v>
      </c>
    </row>
    <row r="19" spans="1:3" x14ac:dyDescent="0.2">
      <c r="B19" t="s">
        <v>746</v>
      </c>
    </row>
    <row r="20" spans="1:3" x14ac:dyDescent="0.2">
      <c r="B20" t="s">
        <v>781</v>
      </c>
    </row>
    <row r="21" spans="1:3" x14ac:dyDescent="0.2">
      <c r="B21" t="s">
        <v>782</v>
      </c>
    </row>
    <row r="22" spans="1:3" x14ac:dyDescent="0.2">
      <c r="B22" t="s">
        <v>783</v>
      </c>
    </row>
    <row r="23" spans="1:3" x14ac:dyDescent="0.2">
      <c r="B23" t="s">
        <v>790</v>
      </c>
    </row>
    <row r="25" spans="1:3" x14ac:dyDescent="0.2">
      <c r="A25" s="611">
        <v>36961</v>
      </c>
    </row>
    <row r="26" spans="1:3" x14ac:dyDescent="0.2">
      <c r="B26" t="s">
        <v>810</v>
      </c>
    </row>
    <row r="30" spans="1:3" x14ac:dyDescent="0.2">
      <c r="B30" s="80"/>
      <c r="C30" s="80"/>
    </row>
    <row r="31" spans="1:3" x14ac:dyDescent="0.2">
      <c r="B31" s="80"/>
    </row>
    <row r="42" spans="2:2" ht="18" x14ac:dyDescent="0.25">
      <c r="B42" s="171" t="s">
        <v>727</v>
      </c>
    </row>
    <row r="44" spans="2:2" x14ac:dyDescent="0.2">
      <c r="B44" t="s">
        <v>728</v>
      </c>
    </row>
    <row r="46" spans="2:2" x14ac:dyDescent="0.2">
      <c r="B46" t="s">
        <v>729</v>
      </c>
    </row>
    <row r="48" spans="2:2" x14ac:dyDescent="0.2">
      <c r="B48" t="s">
        <v>730</v>
      </c>
    </row>
    <row r="50" spans="2:2" x14ac:dyDescent="0.2">
      <c r="B50" t="s">
        <v>731</v>
      </c>
    </row>
    <row r="52" spans="2:2" x14ac:dyDescent="0.2">
      <c r="B52" t="s">
        <v>732</v>
      </c>
    </row>
    <row r="54" spans="2:2" x14ac:dyDescent="0.2">
      <c r="B54" t="s">
        <v>733</v>
      </c>
    </row>
    <row r="56" spans="2:2" x14ac:dyDescent="0.2">
      <c r="B56" t="s">
        <v>734</v>
      </c>
    </row>
    <row r="58" spans="2:2" x14ac:dyDescent="0.2">
      <c r="B58" t="s">
        <v>735</v>
      </c>
    </row>
    <row r="59" spans="2:2" x14ac:dyDescent="0.2">
      <c r="B59" t="s">
        <v>736</v>
      </c>
    </row>
    <row r="61" spans="2:2" x14ac:dyDescent="0.2">
      <c r="B61" t="s">
        <v>737</v>
      </c>
    </row>
    <row r="63" spans="2:2" x14ac:dyDescent="0.2">
      <c r="B63" t="s">
        <v>738</v>
      </c>
    </row>
  </sheetData>
  <printOptions horizontalCentered="1"/>
  <pageMargins left="0.25" right="0.25" top="1" bottom="1" header="0.5" footer="0.5"/>
  <pageSetup orientation="landscape" verticalDpi="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1"/>
  <sheetViews>
    <sheetView topLeftCell="C1" zoomScale="75" workbookViewId="0">
      <selection activeCell="A30" sqref="A30"/>
    </sheetView>
  </sheetViews>
  <sheetFormatPr defaultRowHeight="12.75" x14ac:dyDescent="0.2"/>
  <cols>
    <col min="3" max="7" width="12.28515625" customWidth="1"/>
    <col min="8" max="8" width="13.42578125" customWidth="1"/>
    <col min="9" max="11" width="12.28515625" customWidth="1"/>
    <col min="12" max="15" width="12.42578125" customWidth="1"/>
    <col min="16" max="16" width="11.7109375" customWidth="1"/>
    <col min="17" max="17" width="12.42578125" bestFit="1" customWidth="1"/>
  </cols>
  <sheetData>
    <row r="1" spans="1:18" ht="27" thickBot="1" x14ac:dyDescent="0.45">
      <c r="A1" s="361" t="s">
        <v>518</v>
      </c>
      <c r="B1" s="360"/>
      <c r="C1" s="360"/>
      <c r="D1" s="360"/>
      <c r="E1" s="360"/>
      <c r="F1" s="360"/>
      <c r="G1" s="360"/>
      <c r="H1" s="360"/>
      <c r="I1" s="360"/>
      <c r="J1" s="360"/>
      <c r="K1" s="360"/>
      <c r="L1" s="353"/>
      <c r="M1" s="353"/>
      <c r="N1" s="353"/>
      <c r="O1" s="360"/>
      <c r="P1" s="364" t="s">
        <v>658</v>
      </c>
      <c r="Q1" s="360"/>
      <c r="R1" s="360"/>
    </row>
    <row r="3" spans="1:18" ht="15.75" x14ac:dyDescent="0.25">
      <c r="P3" s="588" t="s">
        <v>659</v>
      </c>
    </row>
    <row r="8" spans="1:18" x14ac:dyDescent="0.2">
      <c r="L8" s="149" t="s">
        <v>600</v>
      </c>
      <c r="M8" s="149" t="s">
        <v>601</v>
      </c>
    </row>
    <row r="9" spans="1:18" ht="18" x14ac:dyDescent="0.25">
      <c r="C9" s="309"/>
      <c r="D9" s="309"/>
      <c r="E9" s="309"/>
      <c r="F9" s="309"/>
      <c r="G9" s="309"/>
      <c r="H9" s="393">
        <v>1997</v>
      </c>
      <c r="I9" s="394">
        <v>1998</v>
      </c>
      <c r="J9" s="394">
        <v>1999</v>
      </c>
      <c r="K9" s="394">
        <v>2000</v>
      </c>
      <c r="L9" s="560">
        <v>2001</v>
      </c>
      <c r="M9" s="394">
        <v>2001</v>
      </c>
      <c r="N9" s="394">
        <v>2002</v>
      </c>
      <c r="O9" s="394">
        <v>2003</v>
      </c>
      <c r="P9" s="394">
        <v>2004</v>
      </c>
      <c r="Q9" s="421">
        <v>2005</v>
      </c>
    </row>
    <row r="10" spans="1:18" ht="18" x14ac:dyDescent="0.25">
      <c r="C10" s="309"/>
      <c r="D10" s="309"/>
      <c r="E10" s="309"/>
      <c r="F10" s="309"/>
      <c r="G10" s="309"/>
      <c r="H10" s="309"/>
      <c r="I10" s="309"/>
      <c r="J10" s="309"/>
      <c r="K10" s="309"/>
      <c r="L10" s="561"/>
      <c r="M10" s="309"/>
    </row>
    <row r="11" spans="1:18" ht="18" x14ac:dyDescent="0.25">
      <c r="C11" s="309" t="s">
        <v>150</v>
      </c>
      <c r="D11" s="309"/>
      <c r="E11" s="309"/>
      <c r="F11" s="309"/>
      <c r="G11" s="309"/>
      <c r="H11" s="395">
        <v>-10881</v>
      </c>
      <c r="I11" s="395">
        <v>4890</v>
      </c>
      <c r="J11" s="395">
        <v>576</v>
      </c>
      <c r="K11" s="395">
        <v>703</v>
      </c>
      <c r="L11" s="562" t="s">
        <v>238</v>
      </c>
      <c r="M11" s="459" t="s">
        <v>238</v>
      </c>
      <c r="N11" s="459" t="s">
        <v>238</v>
      </c>
      <c r="O11" s="459" t="s">
        <v>238</v>
      </c>
      <c r="P11" s="459" t="s">
        <v>238</v>
      </c>
      <c r="Q11" s="459" t="s">
        <v>238</v>
      </c>
    </row>
    <row r="12" spans="1:18" ht="18" x14ac:dyDescent="0.25">
      <c r="C12" s="309" t="s">
        <v>151</v>
      </c>
      <c r="D12" s="309"/>
      <c r="E12" s="309"/>
      <c r="F12" s="309"/>
      <c r="G12" s="309"/>
      <c r="H12" s="396">
        <v>2098</v>
      </c>
      <c r="I12" s="396">
        <v>2862</v>
      </c>
      <c r="J12" s="396">
        <v>5444</v>
      </c>
      <c r="K12" s="396">
        <v>8922</v>
      </c>
      <c r="L12" s="563">
        <f>+'Valuation - DCF'!K14</f>
        <v>3591.5</v>
      </c>
      <c r="M12" s="396">
        <f>+'Valuation - DCF'!L14</f>
        <v>3591.5</v>
      </c>
      <c r="N12" s="396">
        <f>+'Valuation - DCF'!M14</f>
        <v>7470.3200000000006</v>
      </c>
      <c r="O12" s="396">
        <f>+'Valuation - DCF'!N14</f>
        <v>7769.1328000000012</v>
      </c>
      <c r="P12" s="396">
        <f>+'Valuation - DCF'!O14</f>
        <v>8079.8981120000017</v>
      </c>
      <c r="Q12" s="396">
        <f>+'Valuation - DCF'!P14</f>
        <v>8403.0940364800026</v>
      </c>
    </row>
    <row r="13" spans="1:18" ht="18" x14ac:dyDescent="0.25">
      <c r="C13" s="309" t="s">
        <v>820</v>
      </c>
      <c r="D13" s="309"/>
      <c r="E13" s="309"/>
      <c r="F13" s="309"/>
      <c r="G13" s="309"/>
      <c r="H13" s="396">
        <v>6958</v>
      </c>
      <c r="I13" s="396">
        <v>5909</v>
      </c>
      <c r="J13" s="396">
        <v>6191</v>
      </c>
      <c r="K13" s="396">
        <v>7508</v>
      </c>
      <c r="L13" s="563">
        <f ca="1">+'Valuation - DCF'!K19</f>
        <v>5025.0600000000004</v>
      </c>
      <c r="M13" s="396">
        <f ca="1">+'Valuation - DCF'!L19</f>
        <v>5025.0600000000004</v>
      </c>
      <c r="N13" s="396">
        <f ca="1">+'Valuation - DCF'!M19</f>
        <v>10244.120000000001</v>
      </c>
      <c r="O13" s="396">
        <f ca="1">+'Valuation - DCF'!N19</f>
        <v>8877.36</v>
      </c>
      <c r="P13" s="396">
        <f ca="1">+'Valuation - DCF'!O19</f>
        <v>9019.1520000000019</v>
      </c>
      <c r="Q13" s="396">
        <f ca="1">+'Valuation - DCF'!P19</f>
        <v>8942.615679999999</v>
      </c>
    </row>
    <row r="14" spans="1:18" ht="18" x14ac:dyDescent="0.25">
      <c r="C14" s="309" t="s">
        <v>228</v>
      </c>
      <c r="D14" s="309"/>
      <c r="E14" s="309"/>
      <c r="F14" s="309"/>
      <c r="G14" s="309"/>
      <c r="H14" s="396">
        <v>3488</v>
      </c>
      <c r="I14" s="396">
        <v>3752</v>
      </c>
      <c r="J14" s="396">
        <v>3242</v>
      </c>
      <c r="K14" s="396">
        <v>10300</v>
      </c>
      <c r="L14" s="563">
        <f>+'Valuation - DCF'!K15</f>
        <v>3839.3333333333335</v>
      </c>
      <c r="M14" s="396">
        <f>+'Valuation - DCF'!L15</f>
        <v>3839.3333333333335</v>
      </c>
      <c r="N14" s="396">
        <f>+'Valuation - DCF'!M15</f>
        <v>7985.8133333333335</v>
      </c>
      <c r="O14" s="396">
        <f>+'Valuation - DCF'!N15</f>
        <v>8305.245866666668</v>
      </c>
      <c r="P14" s="396">
        <f>+'Valuation - DCF'!O15</f>
        <v>8637.4557013333342</v>
      </c>
      <c r="Q14" s="396">
        <f>+'Valuation - DCF'!P15</f>
        <v>8982.9539293866674</v>
      </c>
    </row>
    <row r="15" spans="1:18" ht="18" x14ac:dyDescent="0.25">
      <c r="C15" s="309" t="s">
        <v>227</v>
      </c>
      <c r="D15" s="309"/>
      <c r="E15" s="309"/>
      <c r="F15" s="309"/>
      <c r="G15" s="309"/>
      <c r="H15" s="396">
        <v>21472</v>
      </c>
      <c r="I15" s="396">
        <v>19597</v>
      </c>
      <c r="J15" s="396">
        <v>25469</v>
      </c>
      <c r="K15" s="396">
        <v>41461</v>
      </c>
      <c r="L15" s="563">
        <f>+'Valuation - DCF'!K16</f>
        <v>16732.5</v>
      </c>
      <c r="M15" s="396">
        <f>+'Valuation - DCF'!L16</f>
        <v>16732.5</v>
      </c>
      <c r="N15" s="396">
        <f>+'Valuation - DCF'!M16</f>
        <v>34803.599999999999</v>
      </c>
      <c r="O15" s="396">
        <f>+'Valuation - DCF'!N16</f>
        <v>36195.743999999999</v>
      </c>
      <c r="P15" s="396">
        <f>+'Valuation - DCF'!O16</f>
        <v>37643.573759999999</v>
      </c>
      <c r="Q15" s="396">
        <f>+'Valuation - DCF'!P16</f>
        <v>39149.316710400002</v>
      </c>
    </row>
    <row r="16" spans="1:18" ht="18" x14ac:dyDescent="0.25">
      <c r="C16" s="309" t="s">
        <v>229</v>
      </c>
      <c r="D16" s="309"/>
      <c r="E16" s="309"/>
      <c r="F16" s="309"/>
      <c r="G16" s="309"/>
      <c r="H16" s="396">
        <v>5945</v>
      </c>
      <c r="I16" s="396">
        <v>3158</v>
      </c>
      <c r="J16" s="396">
        <v>13391</v>
      </c>
      <c r="K16" s="396">
        <v>11615</v>
      </c>
      <c r="L16" s="563">
        <f>+'Valuation - DCF'!K17</f>
        <v>6251.5</v>
      </c>
      <c r="M16" s="396">
        <f>+'Valuation - DCF'!L17</f>
        <v>6251.5</v>
      </c>
      <c r="N16" s="396">
        <f>+'Valuation - DCF'!M17</f>
        <v>13003.12</v>
      </c>
      <c r="O16" s="396">
        <f>+'Valuation - DCF'!N17</f>
        <v>13523.2448</v>
      </c>
      <c r="P16" s="396">
        <f>+'Valuation - DCF'!O17</f>
        <v>14064.174592000001</v>
      </c>
      <c r="Q16" s="396">
        <f>+'Valuation - DCF'!P17</f>
        <v>14626.741575680002</v>
      </c>
    </row>
    <row r="17" spans="3:18" ht="20.25" x14ac:dyDescent="0.4">
      <c r="C17" s="309" t="s">
        <v>230</v>
      </c>
      <c r="D17" s="309"/>
      <c r="E17" s="309"/>
      <c r="F17" s="309"/>
      <c r="G17" s="309"/>
      <c r="H17" s="422">
        <v>8245</v>
      </c>
      <c r="I17" s="422">
        <v>6131</v>
      </c>
      <c r="J17" s="422">
        <v>7547</v>
      </c>
      <c r="K17" s="422">
        <v>14102</v>
      </c>
      <c r="L17" s="564">
        <f>+'Valuation - DCF'!K20</f>
        <v>5412.25</v>
      </c>
      <c r="M17" s="397">
        <f>+'Valuation - DCF'!L20</f>
        <v>5412.25</v>
      </c>
      <c r="N17" s="397">
        <f>+'Valuation - DCF'!M20</f>
        <v>11257.48</v>
      </c>
      <c r="O17" s="397">
        <f>+'Valuation - DCF'!N20</f>
        <v>11707.779200000001</v>
      </c>
      <c r="P17" s="397">
        <f>+'Valuation - DCF'!O20</f>
        <v>12176.090368000001</v>
      </c>
      <c r="Q17" s="397">
        <f>+'Valuation - DCF'!P20</f>
        <v>12663.133982720001</v>
      </c>
    </row>
    <row r="18" spans="3:18" ht="18" x14ac:dyDescent="0.25">
      <c r="C18" s="309" t="s">
        <v>574</v>
      </c>
      <c r="D18" s="309"/>
      <c r="E18" s="309"/>
      <c r="F18" s="309"/>
      <c r="G18" s="309"/>
      <c r="H18" s="395">
        <f>SUM(H11:H17)</f>
        <v>37325</v>
      </c>
      <c r="I18" s="395">
        <f>SUM(I11:I17)</f>
        <v>46299</v>
      </c>
      <c r="J18" s="395">
        <f>SUM(J11:J17)</f>
        <v>61860</v>
      </c>
      <c r="K18" s="395">
        <f>SUM(K11:K17)</f>
        <v>94611</v>
      </c>
      <c r="L18" s="565">
        <f t="shared" ref="L18:Q18" ca="1" si="0">SUM(L11:L17)</f>
        <v>40852.143333333333</v>
      </c>
      <c r="M18" s="395">
        <f t="shared" ca="1" si="0"/>
        <v>40852.143333333333</v>
      </c>
      <c r="N18" s="395">
        <f t="shared" ca="1" si="0"/>
        <v>84764.453333333324</v>
      </c>
      <c r="O18" s="395">
        <f t="shared" ca="1" si="0"/>
        <v>86378.506666666668</v>
      </c>
      <c r="P18" s="395">
        <f t="shared" ca="1" si="0"/>
        <v>89620.344533333337</v>
      </c>
      <c r="Q18" s="395">
        <f t="shared" ca="1" si="0"/>
        <v>92767.855914666667</v>
      </c>
    </row>
    <row r="19" spans="3:18" ht="18" x14ac:dyDescent="0.25">
      <c r="C19" s="309"/>
      <c r="D19" s="309"/>
      <c r="E19" s="309"/>
      <c r="F19" s="309"/>
      <c r="G19" s="309"/>
      <c r="H19" s="310"/>
      <c r="I19" s="310"/>
      <c r="J19" s="310"/>
      <c r="K19" s="310"/>
      <c r="L19" s="566"/>
      <c r="M19" s="309"/>
    </row>
    <row r="20" spans="3:18" ht="18" x14ac:dyDescent="0.25">
      <c r="C20" s="309" t="s">
        <v>428</v>
      </c>
      <c r="D20" s="309"/>
      <c r="E20" s="309"/>
      <c r="F20" s="309"/>
      <c r="G20" s="309"/>
      <c r="H20" s="309"/>
      <c r="I20" s="396">
        <v>-35664</v>
      </c>
      <c r="J20" s="396">
        <v>-33799</v>
      </c>
      <c r="K20" s="396">
        <v>-35051</v>
      </c>
      <c r="L20" s="563">
        <f>+'Valuation - DCF'!K23+'Valuation - DCF'!K28+'Valuation - DCF'!K27+'Valuation - DCF'!K25+'Valuation - DCF'!K26</f>
        <v>-14265.5</v>
      </c>
      <c r="M20" s="396">
        <f>+'Valuation - DCF'!L23+'Valuation - DCF'!L28+'Valuation - DCF'!L27+'Valuation - DCF'!L25</f>
        <v>-15765.5</v>
      </c>
      <c r="N20" s="396">
        <f>+'Valuation - DCF'!M23+'Valuation - DCF'!M28+'Valuation - DCF'!M27+'Valuation - DCF'!M25</f>
        <v>-31531</v>
      </c>
      <c r="O20" s="396">
        <f>+'Valuation - DCF'!N23+'Valuation - DCF'!N28+'Valuation - DCF'!N27+'Valuation - DCF'!N25</f>
        <v>-31531</v>
      </c>
      <c r="P20" s="396">
        <f>+'Valuation - DCF'!O23+'Valuation - DCF'!O28+'Valuation - DCF'!O27+'Valuation - DCF'!O25</f>
        <v>-31531</v>
      </c>
      <c r="Q20" s="396">
        <f>+'Valuation - DCF'!P23+'Valuation - DCF'!P28+'Valuation - DCF'!P27+'Valuation - DCF'!P25</f>
        <v>-31531</v>
      </c>
    </row>
    <row r="21" spans="3:18" ht="18" x14ac:dyDescent="0.25">
      <c r="C21" s="309" t="s">
        <v>429</v>
      </c>
      <c r="D21" s="309"/>
      <c r="E21" s="309"/>
      <c r="F21" s="309"/>
      <c r="G21" s="309"/>
      <c r="H21" s="309"/>
      <c r="I21" s="396">
        <v>-3563</v>
      </c>
      <c r="J21" s="396">
        <v>-11904</v>
      </c>
      <c r="K21" s="396">
        <v>-26451</v>
      </c>
      <c r="L21" s="563">
        <f>+'Valuation - DCF'!K24</f>
        <v>-7333.5</v>
      </c>
      <c r="M21" s="396">
        <f ca="1">+'Valuation - DCF'!L24</f>
        <v>-7087.9786666666669</v>
      </c>
      <c r="N21" s="396">
        <f ca="1">+'Valuation - DCF'!M24</f>
        <v>-14701.394666666669</v>
      </c>
      <c r="O21" s="396">
        <f ca="1">+'Valuation - DCF'!N24</f>
        <v>-14934.145493333337</v>
      </c>
      <c r="P21" s="396">
        <f ca="1">+'Valuation - DCF'!O24</f>
        <v>-15488.850833066666</v>
      </c>
      <c r="Q21" s="396">
        <f ca="1">+'Valuation - DCF'!P24</f>
        <v>-16020.944386389338</v>
      </c>
    </row>
    <row r="22" spans="3:18" ht="18" x14ac:dyDescent="0.25">
      <c r="C22" s="309" t="s">
        <v>608</v>
      </c>
      <c r="D22" s="309"/>
      <c r="E22" s="309"/>
      <c r="F22" s="309"/>
      <c r="G22" s="309"/>
      <c r="H22" s="309"/>
      <c r="I22" s="396">
        <v>2895</v>
      </c>
      <c r="J22" s="396">
        <v>2146</v>
      </c>
      <c r="K22" s="396">
        <v>3300</v>
      </c>
      <c r="L22" s="567" t="s">
        <v>238</v>
      </c>
      <c r="M22" s="461" t="s">
        <v>238</v>
      </c>
      <c r="N22" s="461" t="s">
        <v>238</v>
      </c>
      <c r="O22" s="461" t="s">
        <v>238</v>
      </c>
      <c r="P22" s="461" t="s">
        <v>238</v>
      </c>
      <c r="Q22" s="461" t="s">
        <v>238</v>
      </c>
    </row>
    <row r="23" spans="3:18" ht="18" x14ac:dyDescent="0.25">
      <c r="C23" s="309" t="s">
        <v>604</v>
      </c>
      <c r="D23" s="309"/>
      <c r="E23" s="309"/>
      <c r="F23" s="309"/>
      <c r="G23" s="309"/>
      <c r="H23" s="309"/>
      <c r="I23" s="658">
        <v>0</v>
      </c>
      <c r="J23" s="658">
        <v>0</v>
      </c>
      <c r="K23" s="658">
        <v>0</v>
      </c>
      <c r="L23" s="659">
        <f>+SUM('Valuation - DCF'!K29:K30)+'Valuation - DCF'!K31</f>
        <v>0</v>
      </c>
      <c r="M23" s="460">
        <f>+SUM('Valuation - DCF'!L29:L31)</f>
        <v>-1234.31</v>
      </c>
      <c r="N23" s="460">
        <f>+SUM('Valuation - DCF'!M29:M31)</f>
        <v>4572.1058666666668</v>
      </c>
      <c r="O23" s="460">
        <f>+SUM('Valuation - DCF'!N29:N31)</f>
        <v>11780.039594666669</v>
      </c>
      <c r="P23" s="460">
        <f>+SUM('Valuation - DCF'!O29:O31)</f>
        <v>19165.292651520002</v>
      </c>
      <c r="Q23" s="460">
        <f>+SUM('Valuation - DCF'!P29:P31)</f>
        <v>26738.517889570136</v>
      </c>
    </row>
    <row r="24" spans="3:18" ht="18" x14ac:dyDescent="0.25">
      <c r="C24" s="309" t="s">
        <v>107</v>
      </c>
      <c r="D24" s="309"/>
      <c r="E24" s="309"/>
      <c r="F24" s="309"/>
      <c r="G24" s="309"/>
      <c r="H24" s="309"/>
      <c r="I24" s="395">
        <f>SUM(I18:I22)</f>
        <v>9967</v>
      </c>
      <c r="J24" s="395">
        <f>SUM(J18:J22)</f>
        <v>18303</v>
      </c>
      <c r="K24" s="395">
        <f>SUM(K18:K22)</f>
        <v>36409</v>
      </c>
      <c r="L24" s="565">
        <f t="shared" ref="L24:Q24" ca="1" si="1">SUM(L18:L23)</f>
        <v>19253.143333333333</v>
      </c>
      <c r="M24" s="395">
        <f t="shared" ca="1" si="1"/>
        <v>16764.354666666666</v>
      </c>
      <c r="N24" s="395">
        <f t="shared" ca="1" si="1"/>
        <v>43104.164533333322</v>
      </c>
      <c r="O24" s="395">
        <f t="shared" ca="1" si="1"/>
        <v>51693.400768</v>
      </c>
      <c r="P24" s="395">
        <f t="shared" ca="1" si="1"/>
        <v>61765.786351786672</v>
      </c>
      <c r="Q24" s="395">
        <f t="shared" ca="1" si="1"/>
        <v>71954.429417847467</v>
      </c>
    </row>
    <row r="25" spans="3:18" ht="18" x14ac:dyDescent="0.25">
      <c r="C25" s="309"/>
      <c r="D25" s="309"/>
      <c r="E25" s="309"/>
      <c r="F25" s="309"/>
      <c r="G25" s="309"/>
      <c r="H25" s="309"/>
      <c r="I25" s="395"/>
      <c r="J25" s="395"/>
      <c r="K25" s="395"/>
      <c r="L25" s="565"/>
      <c r="M25" s="395"/>
      <c r="N25" s="395"/>
      <c r="O25" s="395"/>
      <c r="P25" s="395"/>
      <c r="Q25" s="395"/>
    </row>
    <row r="26" spans="3:18" ht="18.75" x14ac:dyDescent="0.3">
      <c r="C26" s="606" t="s">
        <v>666</v>
      </c>
      <c r="D26" s="309"/>
      <c r="E26" s="309"/>
      <c r="F26" s="309"/>
      <c r="G26" s="309"/>
      <c r="H26" s="309"/>
      <c r="I26" s="396">
        <f t="shared" ref="I26:Q26" ca="1" si="2">+I24-I27-I28</f>
        <v>1310.1839</v>
      </c>
      <c r="J26" s="396">
        <f t="shared" ca="1" si="2"/>
        <v>9416.5672000000013</v>
      </c>
      <c r="K26" s="396">
        <f t="shared" si="2"/>
        <v>25713.922400000003</v>
      </c>
      <c r="L26" s="563">
        <f t="shared" ca="1" si="2"/>
        <v>13053.670933333335</v>
      </c>
      <c r="M26" s="396">
        <f t="shared" ca="1" si="2"/>
        <v>10607.544666666665</v>
      </c>
      <c r="N26" s="396">
        <f t="shared" ca="1" si="2"/>
        <v>30608.397866666652</v>
      </c>
      <c r="O26" s="396">
        <f t="shared" ca="1" si="2"/>
        <v>40640.228234666669</v>
      </c>
      <c r="P26" s="396">
        <f t="shared" ca="1" si="2"/>
        <v>50649.689317120006</v>
      </c>
      <c r="Q26" s="396">
        <f t="shared" ca="1" si="2"/>
        <v>60996.890901794133</v>
      </c>
      <c r="R26" s="396"/>
    </row>
    <row r="27" spans="3:18" ht="18.75" x14ac:dyDescent="0.3">
      <c r="C27" s="606" t="s">
        <v>676</v>
      </c>
      <c r="D27" s="309"/>
      <c r="E27" s="309"/>
      <c r="F27" s="309"/>
      <c r="G27" s="309"/>
      <c r="H27" s="396">
        <v>6615</v>
      </c>
      <c r="I27" s="396">
        <f ca="1">+'Sea-3 NH '!F22</f>
        <v>5476.8161</v>
      </c>
      <c r="J27" s="396">
        <f ca="1">+'Sea-3 NH '!G22</f>
        <v>5522.4327999999987</v>
      </c>
      <c r="K27" s="396">
        <f>+'Sea-3 NH '!H22+'Sea-3 Tampa'!H21</f>
        <v>6837.0775999999987</v>
      </c>
      <c r="L27" s="563">
        <f ca="1">+'Sea-3 NH '!I22+'Sea-3 Tampa'!I21</f>
        <v>4472.7223999999997</v>
      </c>
      <c r="M27" s="396">
        <f ca="1">+'Sea-3 NH '!J22+'Sea-3 Tampa'!J21</f>
        <v>4430.0600000000004</v>
      </c>
      <c r="N27" s="396">
        <f ca="1">+'Sea-3 NH '!K22+'Sea-3 Tampa'!K21</f>
        <v>9042.2666666666664</v>
      </c>
      <c r="O27" s="396">
        <f ca="1">+'Sea-3 NH '!L22+'Sea-3 Tampa'!L21</f>
        <v>7627.4325333333336</v>
      </c>
      <c r="P27" s="396">
        <f ca="1">+'Sea-3 NH '!M22+'Sea-3 Tampa'!M21</f>
        <v>7719.2274346666682</v>
      </c>
      <c r="Q27" s="396">
        <f ca="1">+'Sea-3 NH '!N22+'Sea-3 Tampa'!N21</f>
        <v>7590.6941320533333</v>
      </c>
    </row>
    <row r="28" spans="3:18" ht="18.75" x14ac:dyDescent="0.3">
      <c r="C28" s="606" t="s">
        <v>819</v>
      </c>
      <c r="D28" s="309"/>
      <c r="E28" s="309"/>
      <c r="F28" s="309"/>
      <c r="G28" s="309"/>
      <c r="H28" s="396">
        <v>3464</v>
      </c>
      <c r="I28" s="396">
        <f>+'Rail Ops'!F18</f>
        <v>3180</v>
      </c>
      <c r="J28" s="396">
        <f>+'Rail Ops'!G18</f>
        <v>3364</v>
      </c>
      <c r="K28" s="396">
        <f>+'Rail Ops'!H18</f>
        <v>3858</v>
      </c>
      <c r="L28" s="563">
        <f>+'Rail Ops'!I18</f>
        <v>1726.75</v>
      </c>
      <c r="M28" s="396">
        <f>+'Rail Ops'!J18</f>
        <v>1726.75</v>
      </c>
      <c r="N28" s="396">
        <f>+'Rail Ops'!K18</f>
        <v>3453.5</v>
      </c>
      <c r="O28" s="396">
        <f>+'Rail Ops'!L18</f>
        <v>3425.74</v>
      </c>
      <c r="P28" s="396">
        <f>+'Rail Ops'!M18</f>
        <v>3396.8696</v>
      </c>
      <c r="Q28" s="396">
        <f>+'Rail Ops'!N18</f>
        <v>3366.844384</v>
      </c>
    </row>
    <row r="29" spans="3:18" ht="18" x14ac:dyDescent="0.25">
      <c r="C29" s="309"/>
      <c r="D29" s="309"/>
      <c r="E29" s="309"/>
      <c r="F29" s="309"/>
      <c r="G29" s="309"/>
      <c r="H29" s="309"/>
      <c r="I29" s="310"/>
      <c r="J29" s="310"/>
      <c r="K29" s="310"/>
      <c r="L29" s="566"/>
      <c r="M29" s="309"/>
    </row>
    <row r="30" spans="3:18" ht="18" x14ac:dyDescent="0.25">
      <c r="C30" s="309" t="s">
        <v>635</v>
      </c>
      <c r="D30" s="309"/>
      <c r="E30" s="309"/>
      <c r="F30" s="309"/>
      <c r="G30" s="309"/>
      <c r="H30" s="309"/>
      <c r="I30" s="397">
        <f>-I22</f>
        <v>-2895</v>
      </c>
      <c r="J30" s="397">
        <f>-J22</f>
        <v>-2146</v>
      </c>
      <c r="K30" s="397">
        <f>-K22</f>
        <v>-3300</v>
      </c>
      <c r="L30" s="564">
        <f ca="1">+'Valuation - DCF'!K34</f>
        <v>-1332.9317275822159</v>
      </c>
      <c r="M30" s="397">
        <f ca="1">+'Valuation - DCF'!L34</f>
        <v>-1845.0399427051036</v>
      </c>
      <c r="N30" s="397">
        <f ca="1">+'Valuation - DCF'!M34</f>
        <v>-3706.7465520768742</v>
      </c>
      <c r="O30" s="397">
        <f ca="1">+'Valuation - DCF'!N34</f>
        <v>-3723.4132187435407</v>
      </c>
      <c r="P30" s="397">
        <f ca="1">+'Valuation - DCF'!O34</f>
        <v>-3740.0798854102072</v>
      </c>
      <c r="Q30" s="397">
        <f ca="1">+'Valuation - DCF'!P34</f>
        <v>-3756.7465520768742</v>
      </c>
    </row>
    <row r="31" spans="3:18" ht="18" x14ac:dyDescent="0.25">
      <c r="C31" s="309" t="s">
        <v>82</v>
      </c>
      <c r="D31" s="309"/>
      <c r="E31" s="309"/>
      <c r="F31" s="309"/>
      <c r="G31" s="309"/>
      <c r="H31" s="310"/>
      <c r="I31" s="395">
        <f t="shared" ref="I31:Q31" si="3">+I24+I30</f>
        <v>7072</v>
      </c>
      <c r="J31" s="395">
        <f t="shared" si="3"/>
        <v>16157</v>
      </c>
      <c r="K31" s="395">
        <f t="shared" si="3"/>
        <v>33109</v>
      </c>
      <c r="L31" s="565">
        <f t="shared" ca="1" si="3"/>
        <v>17920.211605751116</v>
      </c>
      <c r="M31" s="395">
        <f t="shared" ca="1" si="3"/>
        <v>14919.314723961563</v>
      </c>
      <c r="N31" s="395">
        <f t="shared" ca="1" si="3"/>
        <v>39397.417981256447</v>
      </c>
      <c r="O31" s="395">
        <f t="shared" ca="1" si="3"/>
        <v>47969.987549256461</v>
      </c>
      <c r="P31" s="395">
        <f t="shared" ca="1" si="3"/>
        <v>58025.706466376461</v>
      </c>
      <c r="Q31" s="395">
        <f t="shared" ca="1" si="3"/>
        <v>68197.682865770592</v>
      </c>
    </row>
    <row r="32" spans="3:18" ht="18" x14ac:dyDescent="0.25">
      <c r="C32" s="309"/>
      <c r="D32" s="309"/>
      <c r="E32" s="309"/>
      <c r="F32" s="309"/>
      <c r="G32" s="309"/>
      <c r="H32" s="310"/>
      <c r="I32" s="395"/>
      <c r="J32" s="395"/>
      <c r="K32" s="395"/>
      <c r="L32" s="565"/>
      <c r="M32" s="309"/>
    </row>
    <row r="33" spans="3:17" ht="18" x14ac:dyDescent="0.25">
      <c r="C33" s="309" t="s">
        <v>811</v>
      </c>
      <c r="D33" s="309"/>
      <c r="E33" s="309"/>
      <c r="F33" s="309"/>
      <c r="G33" s="309"/>
      <c r="H33" s="310"/>
      <c r="I33" s="397">
        <v>-1547</v>
      </c>
      <c r="J33" s="397">
        <v>-3148</v>
      </c>
      <c r="K33" s="397">
        <v>-7978</v>
      </c>
      <c r="L33" s="564">
        <f>+'Valuation - DCF'!K36</f>
        <v>-6097.5749999999998</v>
      </c>
      <c r="M33" s="397">
        <f>+'Valuation - DCF'!L36</f>
        <v>-6765</v>
      </c>
      <c r="N33" s="397">
        <f>+'Valuation - DCF'!M36</f>
        <v>-13530</v>
      </c>
      <c r="O33" s="397">
        <f>+'Valuation - DCF'!N36</f>
        <v>-13530</v>
      </c>
      <c r="P33" s="397">
        <f>+'Valuation - DCF'!O36</f>
        <v>-13530</v>
      </c>
      <c r="Q33" s="397">
        <f>+'Valuation - DCF'!P36</f>
        <v>-13530</v>
      </c>
    </row>
    <row r="34" spans="3:17" ht="18" x14ac:dyDescent="0.25">
      <c r="C34" s="309" t="s">
        <v>431</v>
      </c>
      <c r="D34" s="309"/>
      <c r="E34" s="309"/>
      <c r="F34" s="309"/>
      <c r="G34" s="309"/>
      <c r="H34" s="310"/>
      <c r="I34" s="395">
        <f>+I31+I33</f>
        <v>5525</v>
      </c>
      <c r="J34" s="395">
        <f>+J31+J33</f>
        <v>13009</v>
      </c>
      <c r="K34" s="395">
        <f>+K31+K33</f>
        <v>25131</v>
      </c>
      <c r="L34" s="565">
        <f t="shared" ref="L34:Q34" ca="1" si="4">+L31+L33</f>
        <v>11822.636605751115</v>
      </c>
      <c r="M34" s="395">
        <f t="shared" ca="1" si="4"/>
        <v>8154.3147239615628</v>
      </c>
      <c r="N34" s="395">
        <f t="shared" ca="1" si="4"/>
        <v>25867.417981256447</v>
      </c>
      <c r="O34" s="395">
        <f t="shared" ca="1" si="4"/>
        <v>34439.987549256461</v>
      </c>
      <c r="P34" s="395">
        <f t="shared" ca="1" si="4"/>
        <v>44495.706466376461</v>
      </c>
      <c r="Q34" s="395">
        <f t="shared" ca="1" si="4"/>
        <v>54667.682865770592</v>
      </c>
    </row>
    <row r="35" spans="3:17" ht="18" x14ac:dyDescent="0.25">
      <c r="C35" s="309"/>
      <c r="D35" s="309"/>
      <c r="E35" s="309"/>
      <c r="F35" s="309"/>
      <c r="G35" s="309"/>
      <c r="H35" s="310"/>
      <c r="I35" s="395"/>
      <c r="J35" s="395"/>
      <c r="K35" s="395"/>
      <c r="L35" s="565"/>
      <c r="M35" s="309"/>
    </row>
    <row r="36" spans="3:17" ht="18" x14ac:dyDescent="0.25">
      <c r="C36" s="309" t="s">
        <v>432</v>
      </c>
      <c r="D36" s="309"/>
      <c r="E36" s="309"/>
      <c r="F36" s="309"/>
      <c r="G36" s="309"/>
      <c r="H36" s="310"/>
      <c r="I36" s="397">
        <v>-500</v>
      </c>
      <c r="J36" s="397">
        <v>-1436</v>
      </c>
      <c r="K36" s="397">
        <v>-2403</v>
      </c>
      <c r="L36" s="564">
        <f ca="1">+'Valuation - DCF'!K37</f>
        <v>-4137.9228120128901</v>
      </c>
      <c r="M36" s="397">
        <f ca="1">+'Valuation - DCF'!L37</f>
        <v>-2854.0101533865468</v>
      </c>
      <c r="N36" s="397">
        <f ca="1">+'Valuation - DCF'!M37</f>
        <v>-9053.5962934397612</v>
      </c>
      <c r="O36" s="397">
        <f ca="1">+'Valuation - DCF'!N37</f>
        <v>-12053.995642239763</v>
      </c>
      <c r="P36" s="397">
        <f ca="1">+'Valuation - DCF'!O37</f>
        <v>-15573.49726323176</v>
      </c>
      <c r="Q36" s="397">
        <f ca="1">+'Valuation - DCF'!P37</f>
        <v>-19133.689003019706</v>
      </c>
    </row>
    <row r="37" spans="3:17" ht="18" x14ac:dyDescent="0.25">
      <c r="C37" s="309" t="s">
        <v>86</v>
      </c>
      <c r="D37" s="309"/>
      <c r="E37" s="309"/>
      <c r="F37" s="309"/>
      <c r="G37" s="309"/>
      <c r="H37" s="310"/>
      <c r="I37" s="398">
        <f>SUM(I34:I36)</f>
        <v>5025</v>
      </c>
      <c r="J37" s="398">
        <f>SUM(J34:J36)</f>
        <v>11573</v>
      </c>
      <c r="K37" s="398">
        <f>SUM(K34:K36)</f>
        <v>22728</v>
      </c>
      <c r="L37" s="568">
        <f t="shared" ref="L37:Q37" ca="1" si="5">SUM(L34:L36)</f>
        <v>7684.7137937382249</v>
      </c>
      <c r="M37" s="398">
        <f t="shared" ca="1" si="5"/>
        <v>5300.3045705750155</v>
      </c>
      <c r="N37" s="398">
        <f t="shared" ca="1" si="5"/>
        <v>16813.821687816686</v>
      </c>
      <c r="O37" s="398">
        <f t="shared" ca="1" si="5"/>
        <v>22385.991907016698</v>
      </c>
      <c r="P37" s="398">
        <f t="shared" ca="1" si="5"/>
        <v>28922.209203144703</v>
      </c>
      <c r="Q37" s="398">
        <f t="shared" ca="1" si="5"/>
        <v>35533.993862750882</v>
      </c>
    </row>
    <row r="41" spans="3:17" x14ac:dyDescent="0.2">
      <c r="C41" s="298" t="s">
        <v>605</v>
      </c>
    </row>
  </sheetData>
  <printOptions horizontalCentered="1"/>
  <pageMargins left="0.75" right="0.75" top="0.53" bottom="1" header="0.5" footer="0.5"/>
  <pageSetup scale="56" orientation="landscape" verticalDpi="200" r:id="rId1"/>
  <headerFooter alignWithMargins="0">
    <oddFooter>&amp;L&amp;7&amp;D &amp;T&amp;C&amp;8&amp;P&amp;R&amp;7o:/Corpdev/North America/Raul/Ammonia/&amp;F</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T35"/>
  <sheetViews>
    <sheetView topLeftCell="H1" workbookViewId="0">
      <selection activeCell="A30" sqref="A30"/>
    </sheetView>
  </sheetViews>
  <sheetFormatPr defaultRowHeight="12.75" x14ac:dyDescent="0.2"/>
  <cols>
    <col min="1" max="1" width="1.85546875" customWidth="1"/>
    <col min="6" max="6" width="3.140625" customWidth="1"/>
    <col min="7" max="7" width="14.85546875" customWidth="1"/>
    <col min="11" max="11" width="2.140625" customWidth="1"/>
    <col min="12" max="12" width="15" customWidth="1"/>
    <col min="14" max="14" width="10.140625" customWidth="1"/>
    <col min="20" max="20" width="9.7109375" bestFit="1" customWidth="1"/>
  </cols>
  <sheetData>
    <row r="2" spans="2:20" x14ac:dyDescent="0.2">
      <c r="B2" s="80"/>
    </row>
    <row r="4" spans="2:20" x14ac:dyDescent="0.2">
      <c r="B4" s="234" t="s">
        <v>420</v>
      </c>
      <c r="C4" s="142"/>
      <c r="D4" s="142"/>
      <c r="E4" s="141"/>
      <c r="G4" s="234" t="s">
        <v>370</v>
      </c>
      <c r="H4" s="142"/>
      <c r="I4" s="142"/>
      <c r="J4" s="141"/>
      <c r="L4" s="234" t="s">
        <v>450</v>
      </c>
      <c r="M4" s="142"/>
      <c r="N4" s="142"/>
      <c r="O4" s="141"/>
      <c r="Q4" s="234" t="s">
        <v>712</v>
      </c>
      <c r="R4" s="142"/>
      <c r="S4" s="142"/>
      <c r="T4" s="141"/>
    </row>
    <row r="5" spans="2:20" x14ac:dyDescent="0.2">
      <c r="B5" s="246"/>
      <c r="C5" s="247"/>
      <c r="D5" s="247"/>
      <c r="E5" s="248"/>
      <c r="G5" s="157"/>
      <c r="H5" s="110"/>
      <c r="I5" s="110"/>
      <c r="J5" s="214"/>
      <c r="L5" s="157"/>
      <c r="M5" s="110"/>
      <c r="N5" s="110"/>
      <c r="O5" s="214"/>
      <c r="Q5" s="157"/>
      <c r="R5" s="110"/>
      <c r="S5" s="110"/>
      <c r="T5" s="214"/>
    </row>
    <row r="6" spans="2:20" x14ac:dyDescent="0.2">
      <c r="B6" s="246" t="s">
        <v>114</v>
      </c>
      <c r="C6" s="247"/>
      <c r="D6" s="247"/>
      <c r="E6" s="249">
        <v>180</v>
      </c>
      <c r="F6" s="219"/>
      <c r="G6" s="246" t="s">
        <v>114</v>
      </c>
      <c r="H6" s="247"/>
      <c r="I6" s="247"/>
      <c r="J6" s="249">
        <v>212</v>
      </c>
      <c r="K6" s="219"/>
      <c r="L6" s="246" t="s">
        <v>114</v>
      </c>
      <c r="M6" s="247"/>
      <c r="N6" s="247"/>
      <c r="O6" s="249">
        <v>299</v>
      </c>
      <c r="Q6" s="246" t="s">
        <v>114</v>
      </c>
      <c r="R6" s="247"/>
      <c r="S6" s="247"/>
      <c r="T6" s="249">
        <v>140000</v>
      </c>
    </row>
    <row r="7" spans="2:20" ht="6" customHeight="1" x14ac:dyDescent="0.2">
      <c r="B7" s="246"/>
      <c r="C7" s="247"/>
      <c r="D7" s="247"/>
      <c r="E7" s="248"/>
      <c r="G7" s="157"/>
      <c r="H7" s="110"/>
      <c r="I7" s="110"/>
      <c r="J7" s="214"/>
      <c r="L7" s="246"/>
      <c r="M7" s="247"/>
      <c r="N7" s="247"/>
      <c r="O7" s="248"/>
      <c r="Q7" s="246"/>
      <c r="R7" s="247"/>
      <c r="S7" s="247"/>
      <c r="T7" s="248"/>
    </row>
    <row r="8" spans="2:20" ht="15" x14ac:dyDescent="0.35">
      <c r="B8" s="246"/>
      <c r="C8" s="247"/>
      <c r="D8" s="247"/>
      <c r="E8" s="248"/>
      <c r="G8" s="157" t="s">
        <v>378</v>
      </c>
      <c r="H8" s="110"/>
      <c r="I8" s="110"/>
      <c r="J8" s="251">
        <v>50</v>
      </c>
      <c r="L8" s="246" t="s">
        <v>377</v>
      </c>
      <c r="M8" s="247"/>
      <c r="N8" s="247"/>
      <c r="O8" s="253">
        <v>40</v>
      </c>
      <c r="Q8" s="246" t="s">
        <v>713</v>
      </c>
      <c r="R8" s="247"/>
      <c r="S8" s="247"/>
      <c r="T8" s="252">
        <f>21616-9331</f>
        <v>12285</v>
      </c>
    </row>
    <row r="9" spans="2:20" x14ac:dyDescent="0.2">
      <c r="B9" s="246"/>
      <c r="C9" s="247"/>
      <c r="D9" s="247"/>
      <c r="E9" s="248"/>
      <c r="G9" s="157" t="s">
        <v>371</v>
      </c>
      <c r="H9" s="110"/>
      <c r="I9" s="110"/>
      <c r="J9" s="238">
        <f>J6-J8</f>
        <v>162</v>
      </c>
      <c r="L9" s="246" t="s">
        <v>376</v>
      </c>
      <c r="M9" s="247"/>
      <c r="N9" s="247"/>
      <c r="O9" s="252">
        <f>IF(O6-O8&gt;125,125,O6-O8)</f>
        <v>125</v>
      </c>
      <c r="Q9" s="246"/>
      <c r="R9" s="247"/>
      <c r="S9" s="247"/>
      <c r="T9" s="252"/>
    </row>
    <row r="10" spans="2:20" x14ac:dyDescent="0.2">
      <c r="B10" s="246"/>
      <c r="C10" s="250"/>
      <c r="D10" s="247"/>
      <c r="E10" s="248"/>
      <c r="G10" s="157" t="s">
        <v>372</v>
      </c>
      <c r="H10" s="236">
        <v>0.2</v>
      </c>
      <c r="I10" s="110" t="s">
        <v>373</v>
      </c>
      <c r="J10" s="251">
        <f>J9*H10</f>
        <v>32.4</v>
      </c>
      <c r="L10" s="246" t="s">
        <v>373</v>
      </c>
      <c r="M10" s="250">
        <v>0.35</v>
      </c>
      <c r="N10" s="247"/>
      <c r="O10" s="249">
        <f>O9*M10</f>
        <v>43.75</v>
      </c>
      <c r="Q10" s="246"/>
      <c r="R10" s="250"/>
      <c r="S10" s="247"/>
      <c r="T10" s="249"/>
    </row>
    <row r="11" spans="2:20" ht="5.25" customHeight="1" x14ac:dyDescent="0.2">
      <c r="B11" s="246"/>
      <c r="C11" s="247"/>
      <c r="D11" s="247"/>
      <c r="E11" s="248"/>
      <c r="G11" s="157"/>
      <c r="H11" s="110"/>
      <c r="I11" s="110"/>
      <c r="J11" s="214"/>
      <c r="L11" s="246"/>
      <c r="M11" s="247"/>
      <c r="N11" s="247"/>
      <c r="O11" s="248"/>
      <c r="Q11" s="246"/>
      <c r="R11" s="247"/>
      <c r="S11" s="247"/>
      <c r="T11" s="248"/>
    </row>
    <row r="12" spans="2:20" x14ac:dyDescent="0.2">
      <c r="B12" s="246"/>
      <c r="C12" s="247"/>
      <c r="D12" s="247"/>
      <c r="E12" s="248"/>
      <c r="G12" s="157"/>
      <c r="H12" s="110"/>
      <c r="I12" s="110"/>
      <c r="J12" s="214"/>
      <c r="L12" s="246"/>
      <c r="M12" s="247"/>
      <c r="N12" s="247"/>
      <c r="O12" s="248"/>
      <c r="Q12" s="246" t="s">
        <v>114</v>
      </c>
      <c r="R12" s="247"/>
      <c r="S12" s="247"/>
      <c r="T12" s="249">
        <v>160000</v>
      </c>
    </row>
    <row r="13" spans="2:20" x14ac:dyDescent="0.2">
      <c r="B13" s="246"/>
      <c r="C13" s="247"/>
      <c r="D13" s="247"/>
      <c r="E13" s="248"/>
      <c r="G13" s="157"/>
      <c r="H13" s="110"/>
      <c r="I13" s="110"/>
      <c r="J13" s="214"/>
      <c r="L13" s="246" t="s">
        <v>419</v>
      </c>
      <c r="M13" s="247"/>
      <c r="N13" s="247"/>
      <c r="O13" s="220">
        <f>O6-O10</f>
        <v>255.25</v>
      </c>
      <c r="Q13" s="246"/>
      <c r="R13" s="247"/>
      <c r="S13" s="247"/>
      <c r="T13" s="248"/>
    </row>
    <row r="14" spans="2:20" ht="15" x14ac:dyDescent="0.35">
      <c r="B14" s="246"/>
      <c r="C14" s="247"/>
      <c r="D14" s="247"/>
      <c r="E14" s="248"/>
      <c r="G14" s="157"/>
      <c r="H14" s="110"/>
      <c r="I14" s="110"/>
      <c r="J14" s="214"/>
      <c r="L14" s="246" t="s">
        <v>377</v>
      </c>
      <c r="M14" s="247"/>
      <c r="N14" s="247"/>
      <c r="O14" s="253">
        <v>40</v>
      </c>
      <c r="Q14" s="246" t="s">
        <v>713</v>
      </c>
      <c r="R14" s="247"/>
      <c r="S14" s="247"/>
      <c r="T14" s="252">
        <f>25165-9331</f>
        <v>15834</v>
      </c>
    </row>
    <row r="15" spans="2:20" x14ac:dyDescent="0.2">
      <c r="B15" s="246"/>
      <c r="C15" s="247"/>
      <c r="D15" s="247"/>
      <c r="E15" s="248"/>
      <c r="G15" s="157"/>
      <c r="H15" s="110"/>
      <c r="I15" s="110"/>
      <c r="J15" s="214"/>
      <c r="L15" s="246" t="s">
        <v>375</v>
      </c>
      <c r="M15" s="247"/>
      <c r="N15" s="247"/>
      <c r="O15" s="252">
        <f>O13-O14</f>
        <v>215.25</v>
      </c>
      <c r="Q15" s="246"/>
      <c r="R15" s="247"/>
      <c r="S15" s="247"/>
      <c r="T15" s="252"/>
    </row>
    <row r="16" spans="2:20" x14ac:dyDescent="0.2">
      <c r="B16" s="246"/>
      <c r="C16" s="247"/>
      <c r="D16" s="247"/>
      <c r="E16" s="248"/>
      <c r="G16" s="157"/>
      <c r="H16" s="110"/>
      <c r="I16" s="110"/>
      <c r="J16" s="214"/>
      <c r="L16" s="246" t="s">
        <v>373</v>
      </c>
      <c r="M16" s="250">
        <v>0.35</v>
      </c>
      <c r="N16" s="247"/>
      <c r="O16" s="249">
        <f>O15*M16</f>
        <v>75.337499999999991</v>
      </c>
      <c r="Q16" s="246"/>
      <c r="R16" s="250"/>
      <c r="S16" s="247"/>
      <c r="T16" s="249"/>
    </row>
    <row r="17" spans="2:20" x14ac:dyDescent="0.2">
      <c r="B17" s="246" t="s">
        <v>374</v>
      </c>
      <c r="C17" s="247"/>
      <c r="D17" s="247"/>
      <c r="E17" s="220">
        <f>E6-E10</f>
        <v>180</v>
      </c>
      <c r="F17" s="80"/>
      <c r="G17" s="246" t="s">
        <v>374</v>
      </c>
      <c r="H17" s="247"/>
      <c r="I17" s="247"/>
      <c r="J17" s="220">
        <f>J6-J10</f>
        <v>179.6</v>
      </c>
      <c r="K17" s="80"/>
      <c r="L17" s="246"/>
      <c r="M17" s="250"/>
      <c r="N17" s="247"/>
      <c r="O17" s="249"/>
      <c r="Q17" s="246" t="s">
        <v>114</v>
      </c>
      <c r="R17" s="247"/>
      <c r="S17" s="247"/>
      <c r="T17" s="249">
        <v>180000</v>
      </c>
    </row>
    <row r="18" spans="2:20" x14ac:dyDescent="0.2">
      <c r="B18" s="246"/>
      <c r="C18" s="247"/>
      <c r="D18" s="247"/>
      <c r="E18" s="248"/>
      <c r="G18" s="246"/>
      <c r="H18" s="247"/>
      <c r="I18" s="247"/>
      <c r="J18" s="248"/>
      <c r="L18" s="246" t="s">
        <v>451</v>
      </c>
      <c r="M18" s="247"/>
      <c r="N18" s="247"/>
      <c r="O18" s="220">
        <f>+O16+O10</f>
        <v>119.08749999999999</v>
      </c>
      <c r="Q18" s="246"/>
      <c r="R18" s="247"/>
      <c r="S18" s="247"/>
      <c r="T18" s="248"/>
    </row>
    <row r="19" spans="2:20" x14ac:dyDescent="0.2">
      <c r="B19" s="246" t="s">
        <v>381</v>
      </c>
      <c r="C19" s="247"/>
      <c r="D19" s="247"/>
      <c r="E19" s="248"/>
      <c r="G19" s="246" t="s">
        <v>381</v>
      </c>
      <c r="H19" s="247"/>
      <c r="I19" s="247"/>
      <c r="J19" s="248"/>
      <c r="L19" s="246" t="s">
        <v>374</v>
      </c>
      <c r="M19" s="247"/>
      <c r="N19" s="247"/>
      <c r="O19" s="249">
        <f>O6-O10-O16</f>
        <v>179.91250000000002</v>
      </c>
      <c r="Q19" s="246" t="s">
        <v>713</v>
      </c>
      <c r="R19" s="247"/>
      <c r="S19" s="247"/>
      <c r="T19" s="252">
        <f>28715-9331</f>
        <v>19384</v>
      </c>
    </row>
    <row r="20" spans="2:20" x14ac:dyDescent="0.2">
      <c r="B20" s="246" t="s">
        <v>380</v>
      </c>
      <c r="C20" s="247"/>
      <c r="D20" s="247"/>
      <c r="E20" s="248"/>
      <c r="G20" s="246" t="s">
        <v>380</v>
      </c>
      <c r="H20" s="247"/>
      <c r="I20" s="247"/>
      <c r="J20" s="248"/>
      <c r="L20" s="246"/>
      <c r="M20" s="247"/>
      <c r="N20" s="247"/>
      <c r="O20" s="248"/>
      <c r="Q20" s="246"/>
      <c r="R20" s="247"/>
      <c r="S20" s="247"/>
      <c r="T20" s="248"/>
    </row>
    <row r="21" spans="2:20" x14ac:dyDescent="0.2">
      <c r="B21" s="246"/>
      <c r="C21" s="247"/>
      <c r="D21" s="247"/>
      <c r="E21" s="248"/>
      <c r="G21" s="246"/>
      <c r="H21" s="247"/>
      <c r="I21" s="247"/>
      <c r="J21" s="248"/>
      <c r="L21" s="246" t="s">
        <v>379</v>
      </c>
      <c r="M21" s="247"/>
      <c r="N21" s="247"/>
      <c r="O21" s="248"/>
      <c r="Q21" s="246"/>
      <c r="R21" s="247"/>
      <c r="S21" s="247"/>
      <c r="T21" s="248"/>
    </row>
    <row r="22" spans="2:20" x14ac:dyDescent="0.2">
      <c r="B22" s="246"/>
      <c r="C22" s="247"/>
      <c r="D22" s="247"/>
      <c r="E22" s="248"/>
      <c r="G22" s="246"/>
      <c r="H22" s="247"/>
      <c r="I22" s="247"/>
      <c r="J22" s="248"/>
      <c r="L22" s="157"/>
      <c r="M22" s="110"/>
      <c r="N22" s="110"/>
      <c r="O22" s="239"/>
      <c r="Q22" s="157"/>
      <c r="R22" s="110"/>
      <c r="S22" s="110"/>
      <c r="T22" s="239"/>
    </row>
    <row r="23" spans="2:20" x14ac:dyDescent="0.2">
      <c r="B23" s="157"/>
      <c r="C23" s="110"/>
      <c r="D23" s="110"/>
      <c r="E23" s="214"/>
      <c r="G23" s="157"/>
      <c r="H23" s="110"/>
      <c r="I23" s="110"/>
      <c r="J23" s="214"/>
      <c r="L23" s="157"/>
      <c r="M23" s="110"/>
      <c r="N23" s="110"/>
      <c r="O23" s="214"/>
      <c r="Q23" s="157"/>
      <c r="R23" s="110"/>
      <c r="S23" s="110"/>
      <c r="T23" s="214"/>
    </row>
    <row r="24" spans="2:20" x14ac:dyDescent="0.2">
      <c r="B24" s="235" t="s">
        <v>443</v>
      </c>
      <c r="C24" s="219"/>
      <c r="D24" s="219"/>
      <c r="E24" s="237">
        <f>+E17</f>
        <v>180</v>
      </c>
      <c r="G24" s="235" t="s">
        <v>443</v>
      </c>
      <c r="H24" s="219"/>
      <c r="I24" s="219"/>
      <c r="J24" s="237">
        <f>+J6</f>
        <v>212</v>
      </c>
      <c r="L24" s="235" t="s">
        <v>443</v>
      </c>
      <c r="M24" s="219"/>
      <c r="N24" s="219"/>
      <c r="O24" s="237">
        <f>+O6</f>
        <v>299</v>
      </c>
      <c r="Q24" s="235"/>
      <c r="R24" s="219"/>
      <c r="S24" s="219"/>
      <c r="T24" s="237"/>
    </row>
    <row r="25" spans="2:20" ht="15" x14ac:dyDescent="0.35">
      <c r="B25" s="235" t="s">
        <v>444</v>
      </c>
      <c r="C25" s="219"/>
      <c r="D25" s="219"/>
      <c r="E25" s="240">
        <v>0</v>
      </c>
      <c r="G25" s="235" t="s">
        <v>444</v>
      </c>
      <c r="H25" s="219"/>
      <c r="I25" s="219"/>
      <c r="J25" s="244">
        <f>+J10</f>
        <v>32.4</v>
      </c>
      <c r="L25" s="235" t="s">
        <v>444</v>
      </c>
      <c r="M25" s="219"/>
      <c r="N25" s="219"/>
      <c r="O25" s="244">
        <f>+O10+O16</f>
        <v>119.08749999999999</v>
      </c>
      <c r="Q25" s="235"/>
      <c r="R25" s="219"/>
      <c r="S25" s="219"/>
      <c r="T25" s="244"/>
    </row>
    <row r="26" spans="2:20" x14ac:dyDescent="0.2">
      <c r="B26" s="241" t="s">
        <v>374</v>
      </c>
      <c r="C26" s="242"/>
      <c r="D26" s="242"/>
      <c r="E26" s="243">
        <f>+E24-E25</f>
        <v>180</v>
      </c>
      <c r="G26" s="241" t="s">
        <v>374</v>
      </c>
      <c r="H26" s="242"/>
      <c r="I26" s="242"/>
      <c r="J26" s="243">
        <f>+J24-J25</f>
        <v>179.6</v>
      </c>
      <c r="L26" s="241" t="s">
        <v>374</v>
      </c>
      <c r="M26" s="242"/>
      <c r="N26" s="242"/>
      <c r="O26" s="245">
        <f>+O24-O25</f>
        <v>179.91250000000002</v>
      </c>
      <c r="Q26" s="241"/>
      <c r="R26" s="242"/>
      <c r="S26" s="242"/>
      <c r="T26" s="245"/>
    </row>
    <row r="30" spans="2:20" x14ac:dyDescent="0.2">
      <c r="Q30" s="80" t="s">
        <v>463</v>
      </c>
    </row>
    <row r="32" spans="2:20" x14ac:dyDescent="0.2">
      <c r="Q32" t="s">
        <v>716</v>
      </c>
    </row>
    <row r="33" spans="17:17" x14ac:dyDescent="0.2">
      <c r="Q33" t="s">
        <v>717</v>
      </c>
    </row>
    <row r="34" spans="17:17" x14ac:dyDescent="0.2">
      <c r="Q34" t="s">
        <v>714</v>
      </c>
    </row>
    <row r="35" spans="17:17" x14ac:dyDescent="0.2">
      <c r="Q35" t="s">
        <v>715</v>
      </c>
    </row>
  </sheetData>
  <printOptions horizontalCentered="1"/>
  <pageMargins left="0.75" right="0.75" top="1.3" bottom="1" header="0.5" footer="0.5"/>
  <pageSetup scale="63" orientation="landscape" verticalDpi="200" r:id="rId1"/>
  <headerFooter alignWithMargins="0">
    <oddHeader>&amp;L&amp;"Arial,Bold"&amp;14Project Ice&amp;R&amp;"Arial,Bold"&amp;14&amp;A</oddHeader>
    <oddFooter>&amp;L&amp;7&amp;D &amp;T&amp;C&amp;8&amp;P&amp;R&amp;7o:/Corpdev/North America/Raul/Ammonia/&amp;F</oddFooter>
  </headerFooter>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A30" sqref="A30"/>
    </sheetView>
  </sheetViews>
  <sheetFormatPr defaultRowHeight="12.75" x14ac:dyDescent="0.2"/>
  <cols>
    <col min="1" max="1" width="13.42578125" customWidth="1"/>
    <col min="2" max="2" width="6.140625" bestFit="1" customWidth="1"/>
    <col min="3" max="7" width="8.7109375" customWidth="1"/>
    <col min="8" max="8" width="1.7109375" customWidth="1"/>
    <col min="9" max="9" width="1.5703125" customWidth="1"/>
    <col min="10" max="10" width="12.42578125" customWidth="1"/>
    <col min="11" max="11" width="9" customWidth="1"/>
    <col min="12" max="16" width="8.7109375" customWidth="1"/>
  </cols>
  <sheetData>
    <row r="1" spans="1:16" ht="21" thickBot="1" x14ac:dyDescent="0.35">
      <c r="A1" s="365" t="s">
        <v>518</v>
      </c>
      <c r="B1" s="366"/>
      <c r="C1" s="366"/>
      <c r="D1" s="367"/>
      <c r="E1" s="367"/>
      <c r="F1" s="367"/>
      <c r="G1" s="360"/>
      <c r="H1" s="367"/>
      <c r="I1" s="360"/>
      <c r="J1" s="360"/>
      <c r="K1" s="368"/>
      <c r="L1" s="360"/>
      <c r="M1" s="368" t="s">
        <v>829</v>
      </c>
      <c r="N1" s="360"/>
      <c r="O1" s="360"/>
      <c r="P1" s="360"/>
    </row>
    <row r="2" spans="1:16" ht="20.25" x14ac:dyDescent="0.3">
      <c r="A2" s="689"/>
      <c r="B2" s="690"/>
      <c r="C2" s="690"/>
      <c r="D2" s="486"/>
      <c r="E2" s="486"/>
      <c r="F2" s="486"/>
      <c r="G2" s="110"/>
      <c r="H2" s="486"/>
      <c r="I2" s="110"/>
      <c r="J2" s="110"/>
      <c r="K2" s="369"/>
      <c r="L2" s="110"/>
      <c r="M2" s="369"/>
      <c r="N2" s="110"/>
      <c r="O2" s="110"/>
      <c r="P2" s="110"/>
    </row>
    <row r="4" spans="1:16" x14ac:dyDescent="0.2">
      <c r="C4" s="829" t="s">
        <v>826</v>
      </c>
      <c r="D4" s="829"/>
      <c r="E4" s="829"/>
      <c r="F4" s="829"/>
      <c r="G4" s="829"/>
      <c r="H4" s="829"/>
      <c r="I4" s="829"/>
      <c r="J4" s="832" t="s">
        <v>832</v>
      </c>
      <c r="K4" s="832"/>
      <c r="L4" s="832"/>
      <c r="M4" s="832"/>
      <c r="N4" s="832"/>
      <c r="O4" s="832"/>
      <c r="P4" s="832"/>
    </row>
    <row r="5" spans="1:16" s="688" customFormat="1" ht="27" customHeight="1" x14ac:dyDescent="0.2">
      <c r="A5" s="830" t="s">
        <v>834</v>
      </c>
      <c r="B5" s="831"/>
      <c r="C5" s="692">
        <v>60</v>
      </c>
      <c r="D5" s="693">
        <f>C5+5</f>
        <v>65</v>
      </c>
      <c r="E5" s="693">
        <f>D5+5</f>
        <v>70</v>
      </c>
      <c r="F5" s="693">
        <f>E5+5</f>
        <v>75</v>
      </c>
      <c r="G5" s="693">
        <f>F5+5</f>
        <v>80</v>
      </c>
      <c r="H5"/>
      <c r="I5"/>
      <c r="J5" s="830" t="s">
        <v>833</v>
      </c>
      <c r="K5" s="831"/>
      <c r="L5" s="692">
        <v>40</v>
      </c>
      <c r="M5" s="693">
        <v>50</v>
      </c>
      <c r="N5" s="693">
        <v>60</v>
      </c>
      <c r="O5" s="693">
        <v>70</v>
      </c>
      <c r="P5" s="693">
        <v>80</v>
      </c>
    </row>
    <row r="6" spans="1:16" x14ac:dyDescent="0.2">
      <c r="B6" s="214"/>
      <c r="J6" s="827" t="s">
        <v>830</v>
      </c>
      <c r="K6" s="828"/>
    </row>
    <row r="7" spans="1:16" x14ac:dyDescent="0.2">
      <c r="B7" s="691">
        <v>200</v>
      </c>
      <c r="C7" s="169">
        <f>$B7/C$5*1000</f>
        <v>3333.3333333333335</v>
      </c>
      <c r="D7" s="169">
        <f>$B7/D5*1000</f>
        <v>3076.9230769230771</v>
      </c>
      <c r="E7" s="169">
        <f>$B7/E5*1000</f>
        <v>2857.1428571428573</v>
      </c>
      <c r="F7" s="169">
        <f>$B7/F5*1000</f>
        <v>2666.6666666666665</v>
      </c>
      <c r="G7" s="169">
        <f>$B7/G5*1000</f>
        <v>2500</v>
      </c>
      <c r="K7" s="695">
        <f>+'AVP - Trading'!D18</f>
        <v>105.355</v>
      </c>
      <c r="L7" s="256">
        <f>+($B$7-L5-'Asset Valuation'!$I$22)/$K$7</f>
        <v>1.7085093256134023</v>
      </c>
      <c r="M7" s="256">
        <f>+($B$7-M5-'Asset Valuation'!$I$22)/$K$7</f>
        <v>1.6135921408571021</v>
      </c>
      <c r="N7" s="256">
        <f>+($B$7-N5-'Asset Valuation'!$I$22)/$K$7</f>
        <v>1.5186749561008019</v>
      </c>
      <c r="O7" s="256">
        <f>+($B$7-O5-'Asset Valuation'!$I$22)/$K$7</f>
        <v>1.4237577713445018</v>
      </c>
      <c r="P7" s="256">
        <f>+($B$7-P5-'Asset Valuation'!$I$22)/$K$7</f>
        <v>1.3288405865882018</v>
      </c>
    </row>
    <row r="8" spans="1:16" x14ac:dyDescent="0.2">
      <c r="B8" s="691"/>
      <c r="D8" s="151"/>
      <c r="K8" s="696"/>
      <c r="L8" s="694"/>
      <c r="M8" s="694"/>
      <c r="N8" s="694"/>
      <c r="O8" s="694"/>
      <c r="P8" s="694"/>
    </row>
    <row r="9" spans="1:16" x14ac:dyDescent="0.2">
      <c r="B9" s="691">
        <v>190</v>
      </c>
      <c r="C9" s="169">
        <f>$B9/C$5*1000</f>
        <v>3166.6666666666665</v>
      </c>
      <c r="D9" s="169">
        <f>$B9/D$5*1000</f>
        <v>2923.0769230769229</v>
      </c>
      <c r="E9" s="169">
        <f>$B9/E$5*1000</f>
        <v>2714.2857142857142</v>
      </c>
      <c r="F9" s="169">
        <f>$B9/F$5*1000</f>
        <v>2533.333333333333</v>
      </c>
      <c r="G9" s="169">
        <f>$B9/G$5*1000</f>
        <v>2375</v>
      </c>
      <c r="K9" s="695">
        <f>+K7</f>
        <v>105.355</v>
      </c>
      <c r="L9" s="256">
        <f>+($B$9-L5-'Asset Valuation'!$I$22)/$K$9</f>
        <v>1.6135921408571021</v>
      </c>
      <c r="M9" s="256">
        <f>+($B$9-M5-'Asset Valuation'!$I$22)/$K$9</f>
        <v>1.5186749561008019</v>
      </c>
      <c r="N9" s="256">
        <f>+($B$9-N5-'Asset Valuation'!$I$22)/$K$9</f>
        <v>1.4237577713445018</v>
      </c>
      <c r="O9" s="256">
        <f>+($B$9-O5-'Asset Valuation'!$I$22)/$K$9</f>
        <v>1.3288405865882018</v>
      </c>
      <c r="P9" s="256">
        <f>+($B$9-P5-'Asset Valuation'!$I$22)/$K$9</f>
        <v>1.2339234018319016</v>
      </c>
    </row>
    <row r="10" spans="1:16" x14ac:dyDescent="0.2">
      <c r="B10" s="691"/>
      <c r="K10" s="696"/>
      <c r="L10" s="694"/>
      <c r="M10" s="694"/>
      <c r="N10" s="694"/>
      <c r="O10" s="694"/>
      <c r="P10" s="694"/>
    </row>
    <row r="11" spans="1:16" x14ac:dyDescent="0.2">
      <c r="B11" s="691">
        <v>180</v>
      </c>
      <c r="C11" s="169">
        <f>$B11/C$5*1000</f>
        <v>3000</v>
      </c>
      <c r="D11" s="169">
        <f>$B11/D$5*1000</f>
        <v>2769.2307692307691</v>
      </c>
      <c r="E11" s="169">
        <f>$B11/E$5*1000</f>
        <v>2571.4285714285716</v>
      </c>
      <c r="F11" s="169">
        <f>$B11/F$5*1000</f>
        <v>2400</v>
      </c>
      <c r="G11" s="169">
        <f>$B11/G$5*1000</f>
        <v>2250</v>
      </c>
      <c r="K11" s="695">
        <f>+K9</f>
        <v>105.355</v>
      </c>
      <c r="L11" s="256">
        <f>+($B11-L5-'Asset Valuation'!$I$22)/$K$11</f>
        <v>1.5186749561008019</v>
      </c>
      <c r="M11" s="256">
        <f>+($B$11-M5-'Asset Valuation'!$I$22)/$K$11</f>
        <v>1.4237577713445018</v>
      </c>
      <c r="N11" s="256">
        <f>+($B$11-N5-'Asset Valuation'!$I$22)/$K$11</f>
        <v>1.3288405865882018</v>
      </c>
      <c r="O11" s="256">
        <f>+($B$11-O5-'Asset Valuation'!$I$22)/$K$11</f>
        <v>1.2339234018319016</v>
      </c>
      <c r="P11" s="256">
        <f>+($B$11-P5-'Asset Valuation'!$I$22)/$K$11</f>
        <v>1.1390062170756015</v>
      </c>
    </row>
    <row r="12" spans="1:16" x14ac:dyDescent="0.2">
      <c r="B12" s="691"/>
      <c r="K12" s="696"/>
      <c r="L12" s="694"/>
      <c r="M12" s="694"/>
      <c r="N12" s="694"/>
      <c r="O12" s="694"/>
      <c r="P12" s="694"/>
    </row>
    <row r="13" spans="1:16" x14ac:dyDescent="0.2">
      <c r="A13" s="80" t="s">
        <v>827</v>
      </c>
      <c r="B13" s="691">
        <v>170</v>
      </c>
      <c r="C13" s="169">
        <f>$B13/C$5*1000</f>
        <v>2833.3333333333335</v>
      </c>
      <c r="D13" s="169">
        <f>$B13/D$5*1000</f>
        <v>2615.3846153846152</v>
      </c>
      <c r="E13" s="169">
        <f>$B13/E$5*1000</f>
        <v>2428.5714285714284</v>
      </c>
      <c r="F13" s="169">
        <f>$B13/F$5*1000</f>
        <v>2266.6666666666665</v>
      </c>
      <c r="G13" s="169">
        <f>$B13/G$5*1000</f>
        <v>2125</v>
      </c>
      <c r="K13" s="695">
        <f>+K11</f>
        <v>105.355</v>
      </c>
      <c r="L13" s="256">
        <f>+($B13-L5-'Asset Valuation'!$I$22)/$K13</f>
        <v>1.4237577713445018</v>
      </c>
      <c r="M13" s="256">
        <f>+($B13-M5-'Asset Valuation'!$I$22)/$K13</f>
        <v>1.3288405865882018</v>
      </c>
      <c r="N13" s="256">
        <f>+($B13-N5-'Asset Valuation'!$I$22)/$K13</f>
        <v>1.2339234018319016</v>
      </c>
      <c r="O13" s="256">
        <f>+($B13-O5-'Asset Valuation'!$I$22)/$K13</f>
        <v>1.1390062170756015</v>
      </c>
      <c r="P13" s="256">
        <f>+($B13-P5-'Asset Valuation'!$I$22)/$K13</f>
        <v>1.0440890323193013</v>
      </c>
    </row>
    <row r="14" spans="1:16" x14ac:dyDescent="0.2">
      <c r="A14" s="80" t="s">
        <v>828</v>
      </c>
      <c r="B14" s="691"/>
      <c r="K14" s="696"/>
      <c r="L14" s="694"/>
      <c r="M14" s="694"/>
      <c r="N14" s="694"/>
      <c r="O14" s="694"/>
      <c r="P14" s="694"/>
    </row>
    <row r="15" spans="1:16" x14ac:dyDescent="0.2">
      <c r="A15" s="80" t="s">
        <v>831</v>
      </c>
      <c r="B15" s="691">
        <v>160</v>
      </c>
      <c r="C15" s="169">
        <f>$B15/C$5*1000</f>
        <v>2666.6666666666665</v>
      </c>
      <c r="D15" s="169">
        <f>$B15/D$5*1000</f>
        <v>2461.5384615384619</v>
      </c>
      <c r="E15" s="169">
        <f>$B15/E$5*1000</f>
        <v>2285.7142857142858</v>
      </c>
      <c r="F15" s="169">
        <f>$B15/F$5*1000</f>
        <v>2133.3333333333335</v>
      </c>
      <c r="G15" s="169">
        <f>$B15/G$5*1000</f>
        <v>2000</v>
      </c>
      <c r="K15" s="695">
        <f>+K13</f>
        <v>105.355</v>
      </c>
      <c r="L15" s="256">
        <f>+($B15-L$5-'Asset Valuation'!$I$22)/$K15</f>
        <v>1.3288405865882018</v>
      </c>
      <c r="M15" s="256">
        <f>+($B15-M$5-'Asset Valuation'!$I$22)/$K15</f>
        <v>1.2339234018319016</v>
      </c>
      <c r="N15" s="256">
        <f>+($B15-N$5-'Asset Valuation'!$I$22)/$K15</f>
        <v>1.1390062170756015</v>
      </c>
      <c r="O15" s="256">
        <f>+($B15-O$5-'Asset Valuation'!$I$22)/$K15</f>
        <v>1.0440890323193013</v>
      </c>
      <c r="P15" s="256">
        <f>+($B15-P$5-'Asset Valuation'!$I$22)/$K15</f>
        <v>0.94917184756300121</v>
      </c>
    </row>
    <row r="16" spans="1:16" x14ac:dyDescent="0.2">
      <c r="A16" s="80" t="s">
        <v>830</v>
      </c>
      <c r="B16" s="691"/>
      <c r="K16" s="696"/>
      <c r="L16" s="694"/>
      <c r="M16" s="694"/>
      <c r="N16" s="694"/>
      <c r="O16" s="694"/>
      <c r="P16" s="694"/>
    </row>
    <row r="17" spans="2:16" x14ac:dyDescent="0.2">
      <c r="B17" s="691">
        <v>150</v>
      </c>
      <c r="C17" s="169">
        <f>$B17/C$5*1000</f>
        <v>2500</v>
      </c>
      <c r="D17" s="169">
        <f>$B17/D$5*1000</f>
        <v>2307.6923076923076</v>
      </c>
      <c r="E17" s="169">
        <f>$B17/E$5*1000</f>
        <v>2142.8571428571427</v>
      </c>
      <c r="F17" s="169">
        <f>$B17/F$5*1000</f>
        <v>2000</v>
      </c>
      <c r="G17" s="169">
        <f>$B17/G$5*1000</f>
        <v>1875</v>
      </c>
      <c r="K17" s="695">
        <f>+K15</f>
        <v>105.355</v>
      </c>
      <c r="L17" s="256">
        <f>+($B17-L$5-'Asset Valuation'!$I$22)/$K17</f>
        <v>1.2339234018319016</v>
      </c>
      <c r="M17" s="256">
        <f>+($B17-M$5-'Asset Valuation'!$I$22)/$K17</f>
        <v>1.1390062170756015</v>
      </c>
      <c r="N17" s="256">
        <f>+($B17-N$5-'Asset Valuation'!$I$22)/$K17</f>
        <v>1.0440890323193013</v>
      </c>
      <c r="O17" s="256">
        <f>+($B17-O$5-'Asset Valuation'!$I$22)/$K17</f>
        <v>0.94917184756300121</v>
      </c>
      <c r="P17" s="256">
        <f>+($B17-P$5-'Asset Valuation'!$I$22)/$K17</f>
        <v>0.85425466280670115</v>
      </c>
    </row>
    <row r="18" spans="2:16" x14ac:dyDescent="0.2">
      <c r="B18" s="691"/>
      <c r="K18" s="696"/>
      <c r="L18" s="694"/>
      <c r="M18" s="694"/>
      <c r="N18" s="694"/>
      <c r="O18" s="694"/>
      <c r="P18" s="694"/>
    </row>
    <row r="19" spans="2:16" x14ac:dyDescent="0.2">
      <c r="B19" s="691">
        <v>140</v>
      </c>
      <c r="C19" s="169">
        <f>$B19/C$5*1000</f>
        <v>2333.3333333333335</v>
      </c>
      <c r="D19" s="169">
        <f>$B19/D$5*1000</f>
        <v>2153.8461538461538</v>
      </c>
      <c r="E19" s="169">
        <f>$B19/E$5*1000</f>
        <v>2000</v>
      </c>
      <c r="F19" s="169">
        <f>$B19/F$5*1000</f>
        <v>1866.6666666666667</v>
      </c>
      <c r="G19" s="169">
        <f>$B19/G$5*1000</f>
        <v>1750</v>
      </c>
      <c r="K19" s="695">
        <f>+K17</f>
        <v>105.355</v>
      </c>
      <c r="L19" s="256">
        <f>+($B19-L$5-'Asset Valuation'!$I$22)/$K19</f>
        <v>1.1390062170756015</v>
      </c>
      <c r="M19" s="256">
        <f>+($B19-M$5-'Asset Valuation'!$I$22)/$K19</f>
        <v>1.0440890323193013</v>
      </c>
      <c r="N19" s="256">
        <f>+($B19-N$5-'Asset Valuation'!$I$22)/$K19</f>
        <v>0.94917184756300121</v>
      </c>
      <c r="O19" s="256">
        <f>+($B19-O$5-'Asset Valuation'!$I$22)/$K19</f>
        <v>0.85425466280670115</v>
      </c>
      <c r="P19" s="256">
        <f>+($B19-P$5-'Asset Valuation'!$I$22)/$K19</f>
        <v>0.75933747805040097</v>
      </c>
    </row>
    <row r="20" spans="2:16" x14ac:dyDescent="0.2">
      <c r="B20" s="691"/>
      <c r="K20" s="696"/>
      <c r="L20" s="694"/>
      <c r="M20" s="694"/>
      <c r="N20" s="694"/>
      <c r="O20" s="694"/>
      <c r="P20" s="694"/>
    </row>
    <row r="21" spans="2:16" x14ac:dyDescent="0.2">
      <c r="B21" s="691">
        <v>130</v>
      </c>
      <c r="C21" s="169">
        <f>$B21/C$5*1000</f>
        <v>2166.6666666666665</v>
      </c>
      <c r="D21" s="169">
        <f>$B21/D$5*1000</f>
        <v>2000</v>
      </c>
      <c r="E21" s="169">
        <f>$B21/E$5*1000</f>
        <v>1857.1428571428571</v>
      </c>
      <c r="F21" s="169">
        <f>$B21/F$5*1000</f>
        <v>1733.3333333333335</v>
      </c>
      <c r="G21" s="169">
        <f>$B21/G$5*1000</f>
        <v>1625</v>
      </c>
      <c r="K21" s="695">
        <f>+K19</f>
        <v>105.355</v>
      </c>
      <c r="L21" s="256">
        <f>+($B21-L$5-'Asset Valuation'!$I$22)/$K21</f>
        <v>1.0440890323193013</v>
      </c>
      <c r="M21" s="256">
        <f>+($B21-M$5-'Asset Valuation'!$I$22)/$K21</f>
        <v>0.94917184756300121</v>
      </c>
      <c r="N21" s="256">
        <f>+($B21-N$5-'Asset Valuation'!$I$22)/$K21</f>
        <v>0.85425466280670115</v>
      </c>
      <c r="O21" s="256">
        <f>+($B21-O$5-'Asset Valuation'!$I$22)/$K21</f>
        <v>0.75933747805040097</v>
      </c>
      <c r="P21" s="256">
        <f>+($B21-P$5-'Asset Valuation'!$I$22)/$K21</f>
        <v>0.66442029329410091</v>
      </c>
    </row>
    <row r="22" spans="2:16" x14ac:dyDescent="0.2">
      <c r="B22" s="214"/>
      <c r="K22" s="214"/>
    </row>
    <row r="23" spans="2:16" x14ac:dyDescent="0.2">
      <c r="B23" s="214"/>
    </row>
    <row r="24" spans="2:16" x14ac:dyDescent="0.2">
      <c r="B24" s="214"/>
    </row>
    <row r="25" spans="2:16" x14ac:dyDescent="0.2">
      <c r="B25" s="110"/>
    </row>
    <row r="26" spans="2:16" x14ac:dyDescent="0.2">
      <c r="B26" s="110"/>
    </row>
  </sheetData>
  <mergeCells count="5">
    <mergeCell ref="J6:K6"/>
    <mergeCell ref="C4:I4"/>
    <mergeCell ref="A5:B5"/>
    <mergeCell ref="J4:P4"/>
    <mergeCell ref="J5:K5"/>
  </mergeCells>
  <printOptions horizontalCentered="1"/>
  <pageMargins left="0.25" right="0.25" top="1" bottom="1" header="0.5" footer="0.5"/>
  <pageSetup scale="85"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4"/>
  <sheetViews>
    <sheetView zoomScaleNormal="100" workbookViewId="0">
      <selection activeCell="B33" sqref="B33"/>
    </sheetView>
  </sheetViews>
  <sheetFormatPr defaultRowHeight="12.75" x14ac:dyDescent="0.2"/>
  <cols>
    <col min="1" max="1" width="5.7109375" customWidth="1"/>
    <col min="2" max="2" width="9.28515625" customWidth="1"/>
    <col min="3" max="3" width="14.140625" bestFit="1" customWidth="1"/>
    <col min="4" max="5" width="8.85546875" customWidth="1"/>
    <col min="6" max="6" width="9.28515625" customWidth="1"/>
    <col min="7" max="12" width="10.7109375" customWidth="1"/>
  </cols>
  <sheetData>
    <row r="1" spans="1:13" ht="24" thickBot="1" x14ac:dyDescent="0.4">
      <c r="A1" s="392" t="s">
        <v>518</v>
      </c>
      <c r="B1" s="362"/>
      <c r="C1" s="362"/>
      <c r="D1" s="360"/>
      <c r="E1" s="360"/>
      <c r="F1" s="363"/>
      <c r="G1" s="360"/>
      <c r="H1" s="764"/>
      <c r="I1" s="726"/>
      <c r="J1" s="726"/>
      <c r="K1" s="726"/>
      <c r="L1" s="764"/>
      <c r="M1" s="764" t="s">
        <v>899</v>
      </c>
    </row>
    <row r="2" spans="1:13" x14ac:dyDescent="0.2">
      <c r="A2" s="80"/>
    </row>
    <row r="3" spans="1:13" x14ac:dyDescent="0.2">
      <c r="A3" s="80"/>
      <c r="L3" s="80"/>
      <c r="M3" s="80" t="s">
        <v>656</v>
      </c>
    </row>
    <row r="4" spans="1:13" x14ac:dyDescent="0.2">
      <c r="A4" s="80"/>
    </row>
    <row r="5" spans="1:13" x14ac:dyDescent="0.2">
      <c r="A5" s="80"/>
      <c r="B5" t="s">
        <v>903</v>
      </c>
      <c r="E5" s="762">
        <v>120</v>
      </c>
      <c r="F5" s="762">
        <f t="shared" ref="F5:K5" si="0">E5+20</f>
        <v>140</v>
      </c>
      <c r="G5" s="716">
        <f t="shared" si="0"/>
        <v>160</v>
      </c>
      <c r="H5" s="762">
        <f t="shared" si="0"/>
        <v>180</v>
      </c>
      <c r="I5" s="702">
        <f t="shared" si="0"/>
        <v>200</v>
      </c>
      <c r="J5" s="762">
        <f t="shared" si="0"/>
        <v>220</v>
      </c>
      <c r="K5" s="762">
        <f t="shared" si="0"/>
        <v>240</v>
      </c>
    </row>
    <row r="6" spans="1:13" x14ac:dyDescent="0.2">
      <c r="A6" s="80"/>
      <c r="B6" t="s">
        <v>881</v>
      </c>
      <c r="E6" s="762">
        <f ca="1">'adj AVP - Cons'!E10</f>
        <v>119.88754074791373</v>
      </c>
      <c r="F6" s="762">
        <f ca="1">'adj AVP - Cons'!F10</f>
        <v>139.88754074791373</v>
      </c>
      <c r="G6" s="762">
        <f ca="1">'adj AVP - Cons'!G10</f>
        <v>159.88754074791373</v>
      </c>
      <c r="H6" s="762">
        <f ca="1">'adj AVP - Cons'!H10</f>
        <v>179.88754074791373</v>
      </c>
      <c r="I6" s="702">
        <f ca="1">'adj AVP - Cons'!I10</f>
        <v>199.88754074791373</v>
      </c>
      <c r="J6" s="762">
        <f ca="1">'adj AVP - Cons'!J10</f>
        <v>219.88754074791373</v>
      </c>
      <c r="K6" s="762">
        <f ca="1">'adj AVP - Cons'!K10</f>
        <v>239.88754074791373</v>
      </c>
    </row>
    <row r="7" spans="1:13" x14ac:dyDescent="0.2">
      <c r="G7" s="247"/>
      <c r="H7" s="110"/>
      <c r="I7" s="219"/>
      <c r="J7" s="321"/>
    </row>
    <row r="8" spans="1:13" x14ac:dyDescent="0.2">
      <c r="B8" t="s">
        <v>895</v>
      </c>
      <c r="E8" s="762">
        <f ca="1">E6+'adj AVP - Cons'!E12+'adj AVP - Cons'!E13</f>
        <v>262.3322211884215</v>
      </c>
      <c r="F8" s="762">
        <f ca="1">F6+'adj AVP - Cons'!F12+'adj AVP - Cons'!F13</f>
        <v>282.3322211884215</v>
      </c>
      <c r="G8" s="762">
        <f ca="1">G6+'adj AVP - Cons'!G12+'adj AVP - Cons'!G13</f>
        <v>302.3322211884215</v>
      </c>
      <c r="H8" s="762">
        <f ca="1">H6+'adj AVP - Cons'!H12+'adj AVP - Cons'!H13</f>
        <v>322.3322211884215</v>
      </c>
      <c r="I8" s="702">
        <f ca="1">I6+'adj AVP - Cons'!I12+'adj AVP - Cons'!I13</f>
        <v>342.3322211884215</v>
      </c>
      <c r="J8" s="762">
        <f ca="1">J6+'adj AVP - Cons'!J12+'adj AVP - Cons'!J13</f>
        <v>362.3322211884215</v>
      </c>
      <c r="K8" s="762">
        <f ca="1">K6+'adj AVP - Cons'!K12+'adj AVP - Cons'!K13</f>
        <v>382.3322211884215</v>
      </c>
      <c r="L8" s="607"/>
    </row>
    <row r="9" spans="1:13" x14ac:dyDescent="0.2">
      <c r="B9" t="s">
        <v>787</v>
      </c>
      <c r="E9" s="324">
        <f ca="1">-'Asset Valuation'!$I$20</f>
        <v>-75.809303654932961</v>
      </c>
      <c r="F9" s="324">
        <f ca="1">-'Asset Valuation'!$I$20</f>
        <v>-75.809303654932961</v>
      </c>
      <c r="G9" s="324">
        <f ca="1">-'Asset Valuation'!$I$20</f>
        <v>-75.809303654932961</v>
      </c>
      <c r="H9" s="324">
        <f ca="1">-'Asset Valuation'!$I$20</f>
        <v>-75.809303654932961</v>
      </c>
      <c r="I9" s="698">
        <f ca="1">-'Asset Valuation'!$I$20</f>
        <v>-75.809303654932961</v>
      </c>
      <c r="J9" s="324">
        <f ca="1">-'Asset Valuation'!$I$20</f>
        <v>-75.809303654932961</v>
      </c>
      <c r="K9" s="324">
        <f ca="1">-'Asset Valuation'!$I$20</f>
        <v>-75.809303654932961</v>
      </c>
      <c r="L9" s="601"/>
    </row>
    <row r="10" spans="1:13" x14ac:dyDescent="0.2">
      <c r="B10" t="s">
        <v>896</v>
      </c>
      <c r="E10" s="682">
        <f t="shared" ref="E10:K10" ca="1" si="1">SUM(E8:E9)</f>
        <v>186.52291753348854</v>
      </c>
      <c r="F10" s="682">
        <f t="shared" ca="1" si="1"/>
        <v>206.52291753348854</v>
      </c>
      <c r="G10" s="682">
        <f t="shared" ca="1" si="1"/>
        <v>226.52291753348854</v>
      </c>
      <c r="H10" s="682">
        <f t="shared" ca="1" si="1"/>
        <v>246.52291753348854</v>
      </c>
      <c r="I10" s="683">
        <f t="shared" ca="1" si="1"/>
        <v>266.52291753348857</v>
      </c>
      <c r="J10" s="682">
        <f t="shared" ca="1" si="1"/>
        <v>286.52291753348857</v>
      </c>
      <c r="K10" s="682">
        <f t="shared" ca="1" si="1"/>
        <v>306.52291753348857</v>
      </c>
      <c r="L10" s="599"/>
    </row>
    <row r="11" spans="1:13" x14ac:dyDescent="0.2">
      <c r="E11" s="762"/>
      <c r="F11" s="762"/>
      <c r="G11" s="682"/>
      <c r="H11" s="765"/>
      <c r="I11" s="683"/>
      <c r="J11" s="762"/>
      <c r="K11" s="762"/>
      <c r="L11" s="175"/>
    </row>
    <row r="12" spans="1:13" x14ac:dyDescent="0.2">
      <c r="B12" t="s">
        <v>891</v>
      </c>
      <c r="E12" s="169">
        <f>-'S &amp; U'!$J$14</f>
        <v>-180.4</v>
      </c>
      <c r="F12" s="169">
        <f>-'S &amp; U'!$J$14</f>
        <v>-180.4</v>
      </c>
      <c r="G12" s="465">
        <f>-'S &amp; U'!$J$14</f>
        <v>-180.4</v>
      </c>
      <c r="H12" s="169">
        <f>-'S &amp; U'!$J$14</f>
        <v>-180.4</v>
      </c>
      <c r="I12" s="699">
        <f>-'S &amp; U'!$J$14</f>
        <v>-180.4</v>
      </c>
      <c r="J12" s="169">
        <f>-'S &amp; U'!$J$14</f>
        <v>-180.4</v>
      </c>
      <c r="K12" s="169">
        <f>-'S &amp; U'!$J$14</f>
        <v>-180.4</v>
      </c>
      <c r="L12" s="608"/>
    </row>
    <row r="13" spans="1:13" x14ac:dyDescent="0.2">
      <c r="B13" t="s">
        <v>889</v>
      </c>
      <c r="E13" s="325">
        <f>-'Asset Valuation'!$I$22</f>
        <v>20</v>
      </c>
      <c r="F13" s="325">
        <f>-'Asset Valuation'!$I$22</f>
        <v>20</v>
      </c>
      <c r="G13" s="325">
        <f>-'Asset Valuation'!$I$22</f>
        <v>20</v>
      </c>
      <c r="H13" s="325">
        <f>-'Asset Valuation'!$I$22</f>
        <v>20</v>
      </c>
      <c r="I13" s="700">
        <f>-'Asset Valuation'!$I$22</f>
        <v>20</v>
      </c>
      <c r="J13" s="325">
        <f>-'Asset Valuation'!$I$22</f>
        <v>20</v>
      </c>
      <c r="K13" s="325">
        <f>-'Asset Valuation'!$I$22</f>
        <v>20</v>
      </c>
      <c r="L13" s="600"/>
    </row>
    <row r="14" spans="1:13" x14ac:dyDescent="0.2">
      <c r="B14" t="s">
        <v>890</v>
      </c>
      <c r="E14" s="324">
        <f ca="1">Assumptions!$B$46</f>
        <v>37.95531955949226</v>
      </c>
      <c r="F14" s="324">
        <f ca="1">Assumptions!$B$46</f>
        <v>37.95531955949226</v>
      </c>
      <c r="G14" s="324">
        <f ca="1">Assumptions!$B$46</f>
        <v>37.95531955949226</v>
      </c>
      <c r="H14" s="324">
        <f ca="1">Assumptions!$B$46</f>
        <v>37.95531955949226</v>
      </c>
      <c r="I14" s="698">
        <f ca="1">Assumptions!$B$46</f>
        <v>37.95531955949226</v>
      </c>
      <c r="J14" s="324">
        <f ca="1">Assumptions!$B$46</f>
        <v>37.95531955949226</v>
      </c>
      <c r="K14" s="324">
        <f ca="1">Assumptions!$B$46</f>
        <v>37.95531955949226</v>
      </c>
      <c r="L14" s="601"/>
    </row>
    <row r="15" spans="1:13" x14ac:dyDescent="0.2">
      <c r="B15" t="s">
        <v>897</v>
      </c>
      <c r="E15" s="326">
        <f t="shared" ref="E15:K15" ca="1" si="2">SUM(E10:E14)</f>
        <v>64.0782370929808</v>
      </c>
      <c r="F15" s="326">
        <f t="shared" ca="1" si="2"/>
        <v>84.0782370929808</v>
      </c>
      <c r="G15" s="326">
        <f t="shared" ca="1" si="2"/>
        <v>104.0782370929808</v>
      </c>
      <c r="H15" s="326">
        <f t="shared" ca="1" si="2"/>
        <v>124.0782370929808</v>
      </c>
      <c r="I15" s="655">
        <f t="shared" ca="1" si="2"/>
        <v>144.07823709298083</v>
      </c>
      <c r="J15" s="326">
        <f t="shared" ca="1" si="2"/>
        <v>164.07823709298083</v>
      </c>
      <c r="K15" s="326">
        <f t="shared" ca="1" si="2"/>
        <v>184.07823709298083</v>
      </c>
      <c r="L15" s="609"/>
    </row>
    <row r="16" spans="1:13" x14ac:dyDescent="0.2">
      <c r="G16" s="247"/>
      <c r="H16" s="110"/>
      <c r="I16" s="219"/>
      <c r="L16" s="175"/>
    </row>
    <row r="17" spans="2:12" x14ac:dyDescent="0.2">
      <c r="B17" s="224" t="s">
        <v>898</v>
      </c>
      <c r="C17" s="67"/>
      <c r="G17" s="247"/>
      <c r="H17" s="110"/>
      <c r="I17" s="219"/>
      <c r="L17" s="175"/>
    </row>
    <row r="18" spans="2:12" x14ac:dyDescent="0.2">
      <c r="B18" s="767" t="s">
        <v>894</v>
      </c>
      <c r="C18" t="s">
        <v>791</v>
      </c>
      <c r="D18" s="652">
        <f ca="1">('Balance Sheet'!G37-16570-1000)/1000</f>
        <v>110.9089994879872</v>
      </c>
      <c r="E18" s="222">
        <f t="shared" ref="E18:K18" ca="1" si="3">+E15/$D$18</f>
        <v>0.57775507297693418</v>
      </c>
      <c r="F18" s="222">
        <f t="shared" ca="1" si="3"/>
        <v>0.7580830904717295</v>
      </c>
      <c r="G18" s="717">
        <f t="shared" ca="1" si="3"/>
        <v>0.93841110796652483</v>
      </c>
      <c r="H18" s="255">
        <f t="shared" ca="1" si="3"/>
        <v>1.1187391254613201</v>
      </c>
      <c r="I18" s="701">
        <f t="shared" ca="1" si="3"/>
        <v>1.2990671429561156</v>
      </c>
      <c r="J18" s="222">
        <f t="shared" ca="1" si="3"/>
        <v>1.479395160450911</v>
      </c>
      <c r="K18" s="222">
        <f t="shared" ca="1" si="3"/>
        <v>1.6597231779457062</v>
      </c>
      <c r="L18" s="602"/>
    </row>
    <row r="19" spans="2:12" x14ac:dyDescent="0.2">
      <c r="D19" s="635"/>
      <c r="E19" s="634"/>
      <c r="F19" s="222"/>
      <c r="G19" s="717"/>
      <c r="H19" s="255"/>
      <c r="I19" s="701"/>
      <c r="J19" s="222"/>
      <c r="K19" s="222"/>
      <c r="L19" s="602"/>
    </row>
    <row r="20" spans="2:12" x14ac:dyDescent="0.2">
      <c r="B20" s="224" t="s">
        <v>441</v>
      </c>
      <c r="C20" s="67"/>
      <c r="D20" s="766"/>
      <c r="E20" s="222"/>
      <c r="F20" s="222"/>
      <c r="G20" s="717"/>
      <c r="H20" s="255"/>
      <c r="I20" s="701"/>
      <c r="J20" s="222"/>
      <c r="K20" s="222"/>
      <c r="L20" s="602"/>
    </row>
    <row r="21" spans="2:12" x14ac:dyDescent="0.2">
      <c r="B21">
        <v>2001</v>
      </c>
      <c r="C21" t="s">
        <v>666</v>
      </c>
      <c r="D21" s="652">
        <f ca="1">('Profit &amp; Loss (2)'!L32+'Profit &amp; Loss (2)'!M32)/1000</f>
        <v>23.703878000000003</v>
      </c>
      <c r="E21" s="222">
        <f t="shared" ref="E21:K21" ca="1" si="4">+E10/$D$21</f>
        <v>7.8688777226025426</v>
      </c>
      <c r="F21" s="222">
        <f t="shared" ca="1" si="4"/>
        <v>8.7126215184489428</v>
      </c>
      <c r="G21" s="717">
        <f t="shared" ca="1" si="4"/>
        <v>9.5563653142953449</v>
      </c>
      <c r="H21" s="255">
        <f t="shared" ca="1" si="4"/>
        <v>10.400109110141745</v>
      </c>
      <c r="I21" s="701">
        <f t="shared" ca="1" si="4"/>
        <v>11.243852905988149</v>
      </c>
      <c r="J21" s="222">
        <f t="shared" ca="1" si="4"/>
        <v>12.087596701834549</v>
      </c>
      <c r="K21" s="222">
        <f t="shared" ca="1" si="4"/>
        <v>12.931340497680949</v>
      </c>
      <c r="L21" s="602"/>
    </row>
    <row r="22" spans="2:12" x14ac:dyDescent="0.2">
      <c r="B22">
        <v>2002</v>
      </c>
      <c r="C22" t="s">
        <v>666</v>
      </c>
      <c r="D22" s="652">
        <f ca="1">'Profit &amp; Loss (2)'!N32/1000</f>
        <v>30.608397866666675</v>
      </c>
      <c r="E22" s="222">
        <f t="shared" ref="E22:K22" ca="1" si="5">+E10/$D$22</f>
        <v>6.0938477847158659</v>
      </c>
      <c r="F22" s="222">
        <f t="shared" ca="1" si="5"/>
        <v>6.7472632325652455</v>
      </c>
      <c r="G22" s="718">
        <f t="shared" ca="1" si="5"/>
        <v>7.4006786804146243</v>
      </c>
      <c r="H22" s="222">
        <f t="shared" ca="1" si="5"/>
        <v>8.0540941282640048</v>
      </c>
      <c r="I22" s="656">
        <f t="shared" ca="1" si="5"/>
        <v>8.7075095761133845</v>
      </c>
      <c r="J22" s="222">
        <f t="shared" ca="1" si="5"/>
        <v>9.3609250239627642</v>
      </c>
      <c r="K22" s="222">
        <f t="shared" ca="1" si="5"/>
        <v>10.014340471812144</v>
      </c>
      <c r="L22" s="602"/>
    </row>
    <row r="23" spans="2:12" x14ac:dyDescent="0.2">
      <c r="I23" s="80"/>
      <c r="L23" s="175"/>
    </row>
    <row r="24" spans="2:12" x14ac:dyDescent="0.2">
      <c r="B24" s="318" t="s">
        <v>839</v>
      </c>
    </row>
  </sheetData>
  <printOptions horizontalCentered="1"/>
  <pageMargins left="0.75" right="0.75" top="0.53" bottom="1" header="0.5" footer="0.5"/>
  <pageSetup scale="95" orientation="landscape" verticalDpi="200" r:id="rId1"/>
  <headerFooter alignWithMargins="0">
    <oddFooter>&amp;L&amp;7&amp;D &amp;T&amp;C&amp;8&amp;P&amp;R&amp;7o:/Corpdev/North America/Raul/Ammonia/&amp;F</oddFooter>
  </headerFooter>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3:C34"/>
  <sheetViews>
    <sheetView workbookViewId="0">
      <selection activeCell="A30" sqref="A30"/>
    </sheetView>
  </sheetViews>
  <sheetFormatPr defaultRowHeight="12.75" x14ac:dyDescent="0.2"/>
  <sheetData>
    <row r="3" spans="3:3" x14ac:dyDescent="0.2">
      <c r="C3" s="80"/>
    </row>
    <row r="4" spans="3:3" x14ac:dyDescent="0.2">
      <c r="C4" s="221" t="s">
        <v>545</v>
      </c>
    </row>
    <row r="5" spans="3:3" x14ac:dyDescent="0.2">
      <c r="C5" s="221"/>
    </row>
    <row r="6" spans="3:3" x14ac:dyDescent="0.2">
      <c r="C6" t="s">
        <v>548</v>
      </c>
    </row>
    <row r="7" spans="3:3" x14ac:dyDescent="0.2">
      <c r="C7" t="s">
        <v>546</v>
      </c>
    </row>
    <row r="8" spans="3:3" x14ac:dyDescent="0.2">
      <c r="C8" t="s">
        <v>547</v>
      </c>
    </row>
    <row r="9" spans="3:3" x14ac:dyDescent="0.2">
      <c r="C9" t="s">
        <v>549</v>
      </c>
    </row>
    <row r="10" spans="3:3" x14ac:dyDescent="0.2">
      <c r="C10" t="s">
        <v>550</v>
      </c>
    </row>
    <row r="11" spans="3:3" x14ac:dyDescent="0.2">
      <c r="C11" t="s">
        <v>551</v>
      </c>
    </row>
    <row r="12" spans="3:3" x14ac:dyDescent="0.2">
      <c r="C12" t="s">
        <v>552</v>
      </c>
    </row>
    <row r="13" spans="3:3" x14ac:dyDescent="0.2">
      <c r="C13" t="s">
        <v>553</v>
      </c>
    </row>
    <row r="14" spans="3:3" x14ac:dyDescent="0.2">
      <c r="C14" t="s">
        <v>554</v>
      </c>
    </row>
    <row r="15" spans="3:3" x14ac:dyDescent="0.2">
      <c r="C15" t="s">
        <v>555</v>
      </c>
    </row>
    <row r="16" spans="3:3" x14ac:dyDescent="0.2">
      <c r="C16" t="s">
        <v>556</v>
      </c>
    </row>
    <row r="17" spans="3:3" x14ac:dyDescent="0.2">
      <c r="C17" t="s">
        <v>557</v>
      </c>
    </row>
    <row r="18" spans="3:3" x14ac:dyDescent="0.2">
      <c r="C18" t="s">
        <v>558</v>
      </c>
    </row>
    <row r="20" spans="3:3" x14ac:dyDescent="0.2">
      <c r="C20" s="221" t="s">
        <v>433</v>
      </c>
    </row>
    <row r="21" spans="3:3" x14ac:dyDescent="0.2">
      <c r="C21" s="221"/>
    </row>
    <row r="22" spans="3:3" x14ac:dyDescent="0.2">
      <c r="C22" t="s">
        <v>452</v>
      </c>
    </row>
    <row r="23" spans="3:3" x14ac:dyDescent="0.2">
      <c r="C23" t="s">
        <v>434</v>
      </c>
    </row>
    <row r="24" spans="3:3" x14ac:dyDescent="0.2">
      <c r="C24" t="s">
        <v>435</v>
      </c>
    </row>
    <row r="26" spans="3:3" x14ac:dyDescent="0.2">
      <c r="C26" s="221" t="s">
        <v>436</v>
      </c>
    </row>
    <row r="27" spans="3:3" x14ac:dyDescent="0.2">
      <c r="C27" s="221"/>
    </row>
    <row r="28" spans="3:3" x14ac:dyDescent="0.2">
      <c r="C28" t="s">
        <v>453</v>
      </c>
    </row>
    <row r="29" spans="3:3" x14ac:dyDescent="0.2">
      <c r="C29" t="s">
        <v>437</v>
      </c>
    </row>
    <row r="31" spans="3:3" x14ac:dyDescent="0.2">
      <c r="C31" s="80" t="s">
        <v>525</v>
      </c>
    </row>
    <row r="32" spans="3:3" x14ac:dyDescent="0.2">
      <c r="C32" s="80"/>
    </row>
    <row r="33" spans="3:3" x14ac:dyDescent="0.2">
      <c r="C33" t="s">
        <v>454</v>
      </c>
    </row>
    <row r="34" spans="3:3" x14ac:dyDescent="0.2">
      <c r="C34" t="s">
        <v>455</v>
      </c>
    </row>
  </sheetData>
  <printOptions horizontalCentered="1"/>
  <pageMargins left="0.75" right="0.75" top="1.75" bottom="1" header="0.5" footer="0.5"/>
  <pageSetup scale="96" orientation="landscape" verticalDpi="0" r:id="rId1"/>
  <headerFooter alignWithMargins="0">
    <oddHeader>&amp;L&amp;"Arial,Bold"&amp;14Project Ice&amp;R&amp;"Arial,Bold"&amp;14&amp;A</oddHeader>
    <oddFooter>&amp;C&amp;8&amp;P&amp;R&amp;7o:/Corpdev/North America/Raul/Ammonia/&amp;F</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3"/>
  <sheetViews>
    <sheetView showGridLines="0" zoomScale="80" workbookViewId="0">
      <selection activeCell="A30" sqref="A30"/>
    </sheetView>
  </sheetViews>
  <sheetFormatPr defaultRowHeight="12.75" outlineLevelRow="1" x14ac:dyDescent="0.2"/>
  <cols>
    <col min="5" max="5" width="10.28515625" customWidth="1"/>
    <col min="6" max="7" width="10.28515625" bestFit="1" customWidth="1"/>
    <col min="8" max="8" width="12.85546875" bestFit="1" customWidth="1"/>
    <col min="9" max="9" width="4.7109375" customWidth="1"/>
    <col min="10" max="10" width="4.42578125" customWidth="1"/>
  </cols>
  <sheetData>
    <row r="1" spans="1:18" ht="15.75" x14ac:dyDescent="0.2">
      <c r="A1" s="86" t="s">
        <v>213</v>
      </c>
      <c r="B1" s="85"/>
      <c r="C1" s="85"/>
      <c r="D1" s="85"/>
      <c r="E1" s="85"/>
      <c r="F1" s="85"/>
      <c r="G1" s="85"/>
      <c r="H1" s="85"/>
      <c r="I1" s="85"/>
      <c r="J1" s="85"/>
      <c r="K1" s="85"/>
      <c r="L1" s="85"/>
      <c r="M1" s="85"/>
      <c r="N1" s="85"/>
      <c r="O1" s="85"/>
      <c r="P1" s="85"/>
      <c r="Q1" s="85"/>
      <c r="R1" s="85"/>
    </row>
    <row r="5" spans="1:18" x14ac:dyDescent="0.2">
      <c r="E5" s="68">
        <v>1998</v>
      </c>
      <c r="F5" s="69">
        <v>1999</v>
      </c>
      <c r="G5" s="69">
        <v>2000</v>
      </c>
      <c r="H5" s="70">
        <v>2001</v>
      </c>
      <c r="O5" s="68">
        <v>1998</v>
      </c>
      <c r="P5" s="69">
        <v>1999</v>
      </c>
      <c r="Q5" s="69">
        <v>2000</v>
      </c>
      <c r="R5" s="70">
        <v>2001</v>
      </c>
    </row>
    <row r="7" spans="1:18" x14ac:dyDescent="0.2">
      <c r="A7" s="80" t="s">
        <v>207</v>
      </c>
    </row>
    <row r="8" spans="1:18" x14ac:dyDescent="0.2">
      <c r="A8" t="s">
        <v>153</v>
      </c>
      <c r="E8" s="76">
        <v>1810</v>
      </c>
      <c r="F8" s="76">
        <v>2023</v>
      </c>
      <c r="G8" s="76">
        <v>2758</v>
      </c>
      <c r="H8" s="76">
        <v>3657</v>
      </c>
      <c r="K8" s="80" t="s">
        <v>208</v>
      </c>
      <c r="O8" s="76"/>
      <c r="P8" s="76"/>
      <c r="Q8" s="76"/>
      <c r="R8" s="76"/>
    </row>
    <row r="9" spans="1:18" x14ac:dyDescent="0.2">
      <c r="A9" t="s">
        <v>154</v>
      </c>
      <c r="E9" s="76">
        <v>1282</v>
      </c>
      <c r="F9" s="76">
        <v>1623</v>
      </c>
      <c r="G9" s="76">
        <v>2267</v>
      </c>
      <c r="H9" s="76">
        <v>2436</v>
      </c>
      <c r="K9" t="s">
        <v>195</v>
      </c>
      <c r="O9" s="76">
        <v>734</v>
      </c>
      <c r="P9" s="76">
        <v>1264</v>
      </c>
      <c r="Q9" s="76">
        <v>1173</v>
      </c>
      <c r="R9" s="76" t="s">
        <v>214</v>
      </c>
    </row>
    <row r="10" spans="1:18" x14ac:dyDescent="0.2">
      <c r="A10" t="s">
        <v>155</v>
      </c>
      <c r="E10" s="76">
        <v>1172</v>
      </c>
      <c r="F10" s="76">
        <v>1446</v>
      </c>
      <c r="G10" s="76">
        <v>1814</v>
      </c>
      <c r="H10" s="76">
        <v>1657</v>
      </c>
      <c r="K10" t="s">
        <v>196</v>
      </c>
      <c r="O10" s="76">
        <v>28</v>
      </c>
      <c r="P10" s="76">
        <v>12</v>
      </c>
      <c r="Q10" s="76">
        <v>5</v>
      </c>
      <c r="R10" s="76" t="s">
        <v>214</v>
      </c>
    </row>
    <row r="11" spans="1:18" x14ac:dyDescent="0.2">
      <c r="A11" t="s">
        <v>156</v>
      </c>
      <c r="E11" s="76">
        <v>290</v>
      </c>
      <c r="F11" s="76">
        <v>490</v>
      </c>
      <c r="G11" s="76">
        <v>1052</v>
      </c>
      <c r="H11" s="76">
        <v>1243</v>
      </c>
      <c r="K11" t="s">
        <v>197</v>
      </c>
      <c r="O11" s="76">
        <v>21</v>
      </c>
      <c r="P11" s="76">
        <v>13</v>
      </c>
      <c r="Q11" s="76">
        <v>55</v>
      </c>
      <c r="R11" s="76" t="s">
        <v>214</v>
      </c>
    </row>
    <row r="12" spans="1:18" x14ac:dyDescent="0.2">
      <c r="A12" t="s">
        <v>157</v>
      </c>
      <c r="E12" s="76">
        <v>190</v>
      </c>
      <c r="F12" s="76">
        <v>647</v>
      </c>
      <c r="G12" s="76">
        <v>752</v>
      </c>
      <c r="H12" s="76">
        <v>1017</v>
      </c>
      <c r="K12" t="s">
        <v>198</v>
      </c>
      <c r="O12" s="76">
        <v>0</v>
      </c>
      <c r="P12" s="76">
        <v>0</v>
      </c>
      <c r="Q12" s="76">
        <v>22</v>
      </c>
      <c r="R12" s="76" t="s">
        <v>214</v>
      </c>
    </row>
    <row r="13" spans="1:18" x14ac:dyDescent="0.2">
      <c r="A13" t="s">
        <v>158</v>
      </c>
      <c r="E13" s="76">
        <v>194</v>
      </c>
      <c r="F13" s="76">
        <v>407</v>
      </c>
      <c r="G13" s="76">
        <v>724</v>
      </c>
      <c r="H13" s="76">
        <v>1055</v>
      </c>
      <c r="K13" t="s">
        <v>199</v>
      </c>
      <c r="O13" s="76">
        <v>231</v>
      </c>
      <c r="P13" s="76">
        <v>119</v>
      </c>
      <c r="Q13" s="76">
        <v>0</v>
      </c>
      <c r="R13" s="76" t="s">
        <v>214</v>
      </c>
    </row>
    <row r="14" spans="1:18" x14ac:dyDescent="0.2">
      <c r="A14" t="s">
        <v>159</v>
      </c>
      <c r="E14" s="76">
        <v>19</v>
      </c>
      <c r="F14" s="76">
        <v>421</v>
      </c>
      <c r="G14" s="76">
        <v>656</v>
      </c>
      <c r="H14" s="76">
        <v>649</v>
      </c>
      <c r="K14" t="s">
        <v>200</v>
      </c>
      <c r="O14" s="76">
        <v>8</v>
      </c>
      <c r="P14" s="76">
        <v>13</v>
      </c>
      <c r="Q14" s="76">
        <v>0</v>
      </c>
      <c r="R14" s="76" t="s">
        <v>214</v>
      </c>
    </row>
    <row r="15" spans="1:18" x14ac:dyDescent="0.2">
      <c r="A15" t="s">
        <v>160</v>
      </c>
      <c r="E15" s="76">
        <v>79</v>
      </c>
      <c r="F15" s="76">
        <v>420</v>
      </c>
      <c r="G15" s="76">
        <v>583</v>
      </c>
      <c r="H15" s="76">
        <v>502</v>
      </c>
      <c r="K15" t="s">
        <v>201</v>
      </c>
      <c r="O15" s="76">
        <v>0</v>
      </c>
      <c r="P15" s="76">
        <v>0</v>
      </c>
      <c r="Q15" s="76">
        <v>0</v>
      </c>
      <c r="R15" s="76" t="s">
        <v>214</v>
      </c>
    </row>
    <row r="16" spans="1:18" ht="15" x14ac:dyDescent="0.35">
      <c r="A16" t="s">
        <v>161</v>
      </c>
      <c r="E16" s="76">
        <v>188</v>
      </c>
      <c r="F16" s="76">
        <v>303</v>
      </c>
      <c r="G16" s="76">
        <v>479</v>
      </c>
      <c r="H16" s="76">
        <v>474</v>
      </c>
      <c r="K16" t="s">
        <v>202</v>
      </c>
      <c r="O16" s="79">
        <v>0</v>
      </c>
      <c r="P16" s="79">
        <v>0</v>
      </c>
      <c r="Q16" s="79">
        <v>0</v>
      </c>
      <c r="R16" s="87" t="s">
        <v>214</v>
      </c>
    </row>
    <row r="17" spans="1:18" x14ac:dyDescent="0.2">
      <c r="A17" t="s">
        <v>162</v>
      </c>
      <c r="E17" s="76">
        <v>0</v>
      </c>
      <c r="F17" s="76">
        <v>1</v>
      </c>
      <c r="G17" s="76">
        <v>219</v>
      </c>
      <c r="H17" s="76">
        <v>221</v>
      </c>
      <c r="K17" t="s">
        <v>205</v>
      </c>
      <c r="O17" s="76">
        <f>SUM(O9:O16)</f>
        <v>1022</v>
      </c>
      <c r="P17" s="76">
        <f>SUM(P9:P16)</f>
        <v>1421</v>
      </c>
      <c r="Q17" s="76">
        <f>SUM(Q9:Q16)</f>
        <v>1255</v>
      </c>
      <c r="R17" s="76">
        <v>1300</v>
      </c>
    </row>
    <row r="18" spans="1:18" x14ac:dyDescent="0.2">
      <c r="A18" t="s">
        <v>163</v>
      </c>
      <c r="E18" s="76">
        <v>199</v>
      </c>
      <c r="F18" s="76">
        <v>116</v>
      </c>
      <c r="G18" s="76">
        <v>91</v>
      </c>
      <c r="H18" s="76">
        <v>200</v>
      </c>
      <c r="O18" s="76"/>
      <c r="P18" s="76"/>
      <c r="Q18" s="76"/>
      <c r="R18" s="76"/>
    </row>
    <row r="19" spans="1:18" x14ac:dyDescent="0.2">
      <c r="A19" t="s">
        <v>164</v>
      </c>
      <c r="E19" s="76">
        <v>61</v>
      </c>
      <c r="F19" s="76">
        <v>4</v>
      </c>
      <c r="G19" s="76">
        <v>74</v>
      </c>
      <c r="H19" s="76">
        <v>117</v>
      </c>
      <c r="K19" s="80" t="s">
        <v>209</v>
      </c>
      <c r="O19" s="76"/>
      <c r="P19" s="76"/>
      <c r="Q19" s="76"/>
      <c r="R19" s="76"/>
    </row>
    <row r="20" spans="1:18" x14ac:dyDescent="0.2">
      <c r="A20" t="s">
        <v>165</v>
      </c>
      <c r="E20" s="76">
        <v>92</v>
      </c>
      <c r="F20" s="76">
        <v>23</v>
      </c>
      <c r="G20" s="76">
        <v>66</v>
      </c>
      <c r="H20" s="76">
        <v>215</v>
      </c>
      <c r="K20" t="s">
        <v>203</v>
      </c>
      <c r="O20" s="76">
        <v>167</v>
      </c>
      <c r="P20" s="76">
        <v>172</v>
      </c>
      <c r="Q20" s="76">
        <v>237</v>
      </c>
      <c r="R20" s="76">
        <v>374</v>
      </c>
    </row>
    <row r="21" spans="1:18" x14ac:dyDescent="0.2">
      <c r="A21" t="s">
        <v>166</v>
      </c>
      <c r="E21" s="76">
        <v>29</v>
      </c>
      <c r="F21" s="76">
        <v>70</v>
      </c>
      <c r="G21" s="76">
        <v>54</v>
      </c>
      <c r="H21" s="76">
        <v>0</v>
      </c>
      <c r="K21" t="s">
        <v>204</v>
      </c>
      <c r="O21" s="79">
        <v>93</v>
      </c>
      <c r="P21" s="79">
        <v>67</v>
      </c>
      <c r="Q21" s="79">
        <v>195</v>
      </c>
      <c r="R21" s="79">
        <v>0</v>
      </c>
    </row>
    <row r="22" spans="1:18" x14ac:dyDescent="0.2">
      <c r="A22" t="s">
        <v>167</v>
      </c>
      <c r="E22" s="76">
        <v>0</v>
      </c>
      <c r="F22" s="76">
        <v>11</v>
      </c>
      <c r="G22" s="76">
        <v>50</v>
      </c>
      <c r="H22" s="76">
        <v>70</v>
      </c>
      <c r="K22" t="s">
        <v>205</v>
      </c>
      <c r="O22" s="76">
        <f>SUM(O18:O21)</f>
        <v>260</v>
      </c>
      <c r="P22" s="76">
        <f>SUM(P18:P21)</f>
        <v>239</v>
      </c>
      <c r="Q22" s="76">
        <f>SUM(Q18:Q21)</f>
        <v>432</v>
      </c>
      <c r="R22" s="76">
        <f>SUM(R18:R21)</f>
        <v>374</v>
      </c>
    </row>
    <row r="23" spans="1:18" x14ac:dyDescent="0.2">
      <c r="A23" t="s">
        <v>168</v>
      </c>
      <c r="E23" s="76">
        <v>0</v>
      </c>
      <c r="F23" s="76">
        <v>0</v>
      </c>
      <c r="G23" s="76">
        <v>4</v>
      </c>
      <c r="H23" s="76">
        <v>0</v>
      </c>
      <c r="O23" s="76"/>
      <c r="P23" s="76"/>
      <c r="Q23" s="76"/>
      <c r="R23" s="76"/>
    </row>
    <row r="24" spans="1:18" x14ac:dyDescent="0.2">
      <c r="A24" t="s">
        <v>169</v>
      </c>
      <c r="E24" s="76">
        <v>0</v>
      </c>
      <c r="F24" s="76">
        <v>28</v>
      </c>
      <c r="G24" s="76">
        <v>2</v>
      </c>
      <c r="H24" s="76">
        <v>34</v>
      </c>
      <c r="K24" s="80" t="s">
        <v>210</v>
      </c>
      <c r="O24" s="76"/>
      <c r="P24" s="76"/>
      <c r="Q24" s="76"/>
      <c r="R24" s="76"/>
    </row>
    <row r="25" spans="1:18" x14ac:dyDescent="0.2">
      <c r="A25" t="s">
        <v>170</v>
      </c>
      <c r="E25" s="76">
        <v>62</v>
      </c>
      <c r="F25" s="76">
        <v>35</v>
      </c>
      <c r="G25" s="76">
        <v>1</v>
      </c>
      <c r="H25" s="76">
        <v>0</v>
      </c>
      <c r="K25" t="s">
        <v>195</v>
      </c>
      <c r="O25" s="76">
        <v>1224</v>
      </c>
      <c r="P25" s="76">
        <v>1214</v>
      </c>
      <c r="Q25" s="76">
        <v>62</v>
      </c>
      <c r="R25" s="81" t="s">
        <v>211</v>
      </c>
    </row>
    <row r="26" spans="1:18" x14ac:dyDescent="0.2">
      <c r="A26" t="s">
        <v>171</v>
      </c>
      <c r="E26" s="76">
        <v>0</v>
      </c>
      <c r="F26" s="76">
        <v>0</v>
      </c>
      <c r="G26" s="76">
        <v>1</v>
      </c>
      <c r="H26" s="76">
        <v>0</v>
      </c>
      <c r="K26" t="s">
        <v>199</v>
      </c>
      <c r="O26" s="76">
        <v>107</v>
      </c>
      <c r="P26" s="76">
        <v>75</v>
      </c>
      <c r="Q26" s="76">
        <v>0</v>
      </c>
      <c r="R26" s="81" t="s">
        <v>211</v>
      </c>
    </row>
    <row r="27" spans="1:18" x14ac:dyDescent="0.2">
      <c r="A27" t="s">
        <v>172</v>
      </c>
      <c r="E27" s="76">
        <v>26</v>
      </c>
      <c r="F27" s="76">
        <v>6</v>
      </c>
      <c r="G27" s="76">
        <v>0</v>
      </c>
      <c r="H27" s="76">
        <v>0</v>
      </c>
      <c r="K27" t="s">
        <v>201</v>
      </c>
      <c r="O27" s="76">
        <v>397</v>
      </c>
      <c r="P27" s="76">
        <v>282</v>
      </c>
      <c r="Q27" s="76">
        <v>0</v>
      </c>
      <c r="R27" s="81" t="s">
        <v>211</v>
      </c>
    </row>
    <row r="28" spans="1:18" x14ac:dyDescent="0.2">
      <c r="A28" t="s">
        <v>173</v>
      </c>
      <c r="E28" s="76">
        <v>11</v>
      </c>
      <c r="F28" s="76">
        <v>0</v>
      </c>
      <c r="G28" s="76">
        <v>0</v>
      </c>
      <c r="H28" s="76">
        <v>10</v>
      </c>
      <c r="K28" t="s">
        <v>202</v>
      </c>
      <c r="O28" s="79">
        <v>106</v>
      </c>
      <c r="P28" s="79">
        <v>37</v>
      </c>
      <c r="Q28" s="79">
        <v>0</v>
      </c>
      <c r="R28" s="81" t="s">
        <v>211</v>
      </c>
    </row>
    <row r="29" spans="1:18" x14ac:dyDescent="0.2">
      <c r="A29" t="s">
        <v>174</v>
      </c>
      <c r="E29" s="79">
        <v>0</v>
      </c>
      <c r="F29" s="79">
        <v>0</v>
      </c>
      <c r="G29" s="79">
        <v>0</v>
      </c>
      <c r="H29" s="79">
        <v>0</v>
      </c>
      <c r="K29" t="s">
        <v>205</v>
      </c>
      <c r="O29" s="76">
        <f>SUM(O25:O28)</f>
        <v>1834</v>
      </c>
      <c r="P29" s="76">
        <f>SUM(P25:P28)</f>
        <v>1608</v>
      </c>
      <c r="Q29" s="76">
        <f>SUM(Q25:Q28)</f>
        <v>62</v>
      </c>
      <c r="R29" s="76"/>
    </row>
    <row r="30" spans="1:18" x14ac:dyDescent="0.2">
      <c r="A30" t="s">
        <v>205</v>
      </c>
      <c r="E30" s="76">
        <f>SUM(E8:E29)</f>
        <v>5704</v>
      </c>
      <c r="F30" s="76">
        <f>SUM(F8:F29)</f>
        <v>8074</v>
      </c>
      <c r="G30" s="76">
        <f>SUM(G8:G29)</f>
        <v>11647</v>
      </c>
      <c r="H30" s="76">
        <f>SUM(H8:H29)</f>
        <v>13557</v>
      </c>
      <c r="O30" s="76"/>
      <c r="P30" s="76"/>
      <c r="Q30" s="76"/>
      <c r="R30" s="76"/>
    </row>
    <row r="31" spans="1:18" x14ac:dyDescent="0.2">
      <c r="E31" s="76"/>
      <c r="F31" s="76"/>
      <c r="G31" s="76"/>
      <c r="H31" s="76"/>
      <c r="K31" s="82" t="s">
        <v>206</v>
      </c>
      <c r="L31" s="69"/>
      <c r="M31" s="69"/>
      <c r="N31" s="69"/>
      <c r="O31" s="83">
        <f>+E30+E52+O17+O22+O29</f>
        <v>12330</v>
      </c>
      <c r="P31" s="83">
        <f>+F30+F52+P17+P22+P29</f>
        <v>14232</v>
      </c>
      <c r="Q31" s="83">
        <f>+G30+G52+Q17+Q22+Q29</f>
        <v>17237</v>
      </c>
      <c r="R31" s="84">
        <f>+H30+H52+R17+R22+R29</f>
        <v>19231</v>
      </c>
    </row>
    <row r="32" spans="1:18" x14ac:dyDescent="0.2">
      <c r="A32" s="80" t="s">
        <v>212</v>
      </c>
      <c r="E32" s="76"/>
      <c r="F32" s="76"/>
      <c r="G32" s="76"/>
      <c r="H32" s="76"/>
      <c r="O32" s="76"/>
      <c r="P32" s="76"/>
      <c r="Q32" s="76"/>
      <c r="R32" s="76"/>
    </row>
    <row r="33" spans="1:8" hidden="1" outlineLevel="1" x14ac:dyDescent="0.2">
      <c r="A33" t="s">
        <v>175</v>
      </c>
      <c r="E33" s="76"/>
      <c r="F33" s="76"/>
      <c r="G33" s="76"/>
      <c r="H33" s="76"/>
    </row>
    <row r="34" spans="1:8" hidden="1" outlineLevel="1" x14ac:dyDescent="0.2">
      <c r="A34" t="s">
        <v>176</v>
      </c>
      <c r="E34" s="76"/>
      <c r="F34" s="76"/>
      <c r="G34" s="76"/>
      <c r="H34" s="76"/>
    </row>
    <row r="35" spans="1:8" hidden="1" outlineLevel="1" x14ac:dyDescent="0.2">
      <c r="A35" t="s">
        <v>177</v>
      </c>
      <c r="E35" s="76"/>
      <c r="F35" s="76"/>
      <c r="G35" s="76"/>
      <c r="H35" s="76"/>
    </row>
    <row r="36" spans="1:8" hidden="1" outlineLevel="1" x14ac:dyDescent="0.2">
      <c r="A36" t="s">
        <v>178</v>
      </c>
      <c r="E36" s="76"/>
      <c r="F36" s="76"/>
      <c r="G36" s="76"/>
      <c r="H36" s="76"/>
    </row>
    <row r="37" spans="1:8" hidden="1" outlineLevel="1" x14ac:dyDescent="0.2">
      <c r="A37" t="s">
        <v>179</v>
      </c>
      <c r="E37" s="76"/>
      <c r="F37" s="76"/>
      <c r="G37" s="76"/>
      <c r="H37" s="76"/>
    </row>
    <row r="38" spans="1:8" hidden="1" outlineLevel="1" x14ac:dyDescent="0.2">
      <c r="A38" t="s">
        <v>180</v>
      </c>
      <c r="E38" s="76"/>
      <c r="F38" s="76"/>
      <c r="G38" s="76"/>
      <c r="H38" s="76"/>
    </row>
    <row r="39" spans="1:8" hidden="1" outlineLevel="1" x14ac:dyDescent="0.2">
      <c r="A39" t="s">
        <v>181</v>
      </c>
      <c r="E39" s="76"/>
      <c r="F39" s="76"/>
      <c r="G39" s="76"/>
      <c r="H39" s="76"/>
    </row>
    <row r="40" spans="1:8" hidden="1" outlineLevel="1" x14ac:dyDescent="0.2">
      <c r="A40" t="s">
        <v>182</v>
      </c>
      <c r="E40" s="76"/>
      <c r="F40" s="76"/>
      <c r="G40" s="76"/>
      <c r="H40" s="76"/>
    </row>
    <row r="41" spans="1:8" hidden="1" outlineLevel="1" x14ac:dyDescent="0.2">
      <c r="A41" t="s">
        <v>183</v>
      </c>
      <c r="E41" s="76"/>
      <c r="F41" s="76"/>
      <c r="G41" s="76"/>
      <c r="H41" s="76"/>
    </row>
    <row r="42" spans="1:8" hidden="1" outlineLevel="1" x14ac:dyDescent="0.2">
      <c r="A42" t="s">
        <v>184</v>
      </c>
      <c r="E42" s="76"/>
      <c r="F42" s="76"/>
      <c r="G42" s="76"/>
      <c r="H42" s="76"/>
    </row>
    <row r="43" spans="1:8" hidden="1" outlineLevel="1" x14ac:dyDescent="0.2">
      <c r="A43" t="s">
        <v>185</v>
      </c>
      <c r="E43" s="76"/>
      <c r="F43" s="76"/>
      <c r="G43" s="76"/>
      <c r="H43" s="76"/>
    </row>
    <row r="44" spans="1:8" hidden="1" outlineLevel="1" x14ac:dyDescent="0.2">
      <c r="A44" t="s">
        <v>186</v>
      </c>
      <c r="E44" s="76"/>
      <c r="F44" s="76"/>
      <c r="G44" s="76"/>
      <c r="H44" s="76"/>
    </row>
    <row r="45" spans="1:8" hidden="1" outlineLevel="1" x14ac:dyDescent="0.2">
      <c r="A45" t="s">
        <v>187</v>
      </c>
      <c r="E45" s="76"/>
      <c r="F45" s="76"/>
      <c r="G45" s="76"/>
      <c r="H45" s="76"/>
    </row>
    <row r="46" spans="1:8" hidden="1" outlineLevel="1" x14ac:dyDescent="0.2">
      <c r="A46" t="s">
        <v>188</v>
      </c>
      <c r="E46" s="76"/>
      <c r="F46" s="76"/>
      <c r="G46" s="76"/>
      <c r="H46" s="76"/>
    </row>
    <row r="47" spans="1:8" hidden="1" outlineLevel="1" x14ac:dyDescent="0.2">
      <c r="A47" t="s">
        <v>189</v>
      </c>
      <c r="E47" s="76"/>
      <c r="F47" s="76"/>
      <c r="G47" s="76"/>
      <c r="H47" s="76"/>
    </row>
    <row r="48" spans="1:8" hidden="1" outlineLevel="1" x14ac:dyDescent="0.2">
      <c r="A48" t="s">
        <v>190</v>
      </c>
      <c r="E48" s="76"/>
      <c r="F48" s="76"/>
      <c r="G48" s="76"/>
      <c r="H48" s="76"/>
    </row>
    <row r="49" spans="1:8" hidden="1" outlineLevel="1" x14ac:dyDescent="0.2">
      <c r="A49" t="s">
        <v>191</v>
      </c>
      <c r="E49" s="76"/>
      <c r="F49" s="76"/>
      <c r="G49" s="76"/>
      <c r="H49" s="76"/>
    </row>
    <row r="50" spans="1:8" hidden="1" outlineLevel="1" x14ac:dyDescent="0.2">
      <c r="A50" t="s">
        <v>192</v>
      </c>
      <c r="E50" s="76"/>
      <c r="F50" s="76"/>
      <c r="G50" s="76"/>
      <c r="H50" s="76"/>
    </row>
    <row r="51" spans="1:8" hidden="1" outlineLevel="1" x14ac:dyDescent="0.2">
      <c r="A51" t="s">
        <v>193</v>
      </c>
      <c r="E51" s="79"/>
      <c r="F51" s="79"/>
      <c r="G51" s="79"/>
      <c r="H51" s="79"/>
    </row>
    <row r="52" spans="1:8" collapsed="1" x14ac:dyDescent="0.2">
      <c r="A52" t="s">
        <v>205</v>
      </c>
      <c r="E52" s="76">
        <v>3510</v>
      </c>
      <c r="F52" s="76">
        <v>2890</v>
      </c>
      <c r="G52" s="76">
        <v>3841</v>
      </c>
      <c r="H52" s="76">
        <v>4000</v>
      </c>
    </row>
    <row r="53" spans="1:8" x14ac:dyDescent="0.2">
      <c r="E53" s="76"/>
      <c r="F53" s="76"/>
      <c r="G53" s="76"/>
      <c r="H53" s="76"/>
    </row>
  </sheetData>
  <pageMargins left="0.25" right="0.25" top="1" bottom="0.5" header="0.5" footer="0.5"/>
  <pageSetup scale="78" orientation="landscape" verticalDpi="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7"/>
  <sheetViews>
    <sheetView showGridLines="0" zoomScale="80" workbookViewId="0">
      <selection activeCell="A30" sqref="A30"/>
    </sheetView>
  </sheetViews>
  <sheetFormatPr defaultRowHeight="12.75" outlineLevelRow="1" x14ac:dyDescent="0.2"/>
  <cols>
    <col min="5" max="7" width="10.28515625" customWidth="1"/>
    <col min="8" max="8" width="12.85546875" customWidth="1"/>
    <col min="9" max="9" width="3.5703125" customWidth="1"/>
    <col min="10" max="10" width="1.42578125" customWidth="1"/>
    <col min="12" max="12" width="11" customWidth="1"/>
    <col min="13" max="13" width="6.140625" customWidth="1"/>
    <col min="14" max="14" width="5" customWidth="1"/>
    <col min="15" max="18" width="12.28515625" bestFit="1" customWidth="1"/>
  </cols>
  <sheetData>
    <row r="1" spans="1:18" ht="15.75" x14ac:dyDescent="0.2">
      <c r="A1" s="86" t="s">
        <v>215</v>
      </c>
      <c r="B1" s="67"/>
      <c r="C1" s="67"/>
      <c r="D1" s="67"/>
      <c r="E1" s="67"/>
      <c r="F1" s="67"/>
      <c r="G1" s="85"/>
      <c r="H1" s="85"/>
      <c r="I1" s="85"/>
      <c r="J1" s="85"/>
      <c r="K1" s="85"/>
      <c r="L1" s="85"/>
      <c r="M1" s="67"/>
      <c r="N1" s="67"/>
      <c r="O1" s="67"/>
      <c r="P1" s="67"/>
      <c r="Q1" s="67"/>
      <c r="R1" s="67"/>
    </row>
    <row r="4" spans="1:18" x14ac:dyDescent="0.2">
      <c r="E4" s="68">
        <v>1998</v>
      </c>
      <c r="F4" s="69">
        <v>1999</v>
      </c>
      <c r="G4" s="69">
        <v>2000</v>
      </c>
      <c r="H4" s="70">
        <v>2001</v>
      </c>
      <c r="O4" s="68">
        <v>1998</v>
      </c>
      <c r="P4" s="69">
        <v>1999</v>
      </c>
      <c r="Q4" s="69">
        <v>2000</v>
      </c>
      <c r="R4" s="70">
        <v>2001</v>
      </c>
    </row>
    <row r="6" spans="1:18" x14ac:dyDescent="0.2">
      <c r="A6" s="80" t="s">
        <v>207</v>
      </c>
    </row>
    <row r="7" spans="1:18" x14ac:dyDescent="0.2">
      <c r="A7" t="s">
        <v>153</v>
      </c>
      <c r="E7" s="65">
        <v>5039</v>
      </c>
      <c r="F7" s="65">
        <v>4368</v>
      </c>
      <c r="G7" s="65">
        <v>15437</v>
      </c>
      <c r="H7" s="88" t="s">
        <v>214</v>
      </c>
      <c r="K7" s="80" t="s">
        <v>208</v>
      </c>
      <c r="O7" s="76"/>
      <c r="P7" s="76"/>
      <c r="Q7" s="76"/>
      <c r="R7" s="76"/>
    </row>
    <row r="8" spans="1:18" x14ac:dyDescent="0.2">
      <c r="A8" t="s">
        <v>154</v>
      </c>
      <c r="E8" s="65">
        <v>3752</v>
      </c>
      <c r="F8" s="65">
        <v>3242</v>
      </c>
      <c r="G8" s="65">
        <v>10300</v>
      </c>
      <c r="H8" s="65">
        <v>11150</v>
      </c>
      <c r="K8" t="s">
        <v>195</v>
      </c>
      <c r="O8" s="65">
        <v>1881</v>
      </c>
      <c r="P8" s="65">
        <v>5828</v>
      </c>
      <c r="Q8" s="65">
        <v>8401</v>
      </c>
      <c r="R8" s="65" t="s">
        <v>214</v>
      </c>
    </row>
    <row r="9" spans="1:18" x14ac:dyDescent="0.2">
      <c r="A9" t="s">
        <v>155</v>
      </c>
      <c r="E9" s="65">
        <v>1874</v>
      </c>
      <c r="F9" s="65">
        <v>5378</v>
      </c>
      <c r="G9" s="65">
        <v>4053</v>
      </c>
      <c r="H9" s="88" t="s">
        <v>214</v>
      </c>
      <c r="K9" t="s">
        <v>196</v>
      </c>
      <c r="O9" s="65">
        <v>-4</v>
      </c>
      <c r="P9" s="65">
        <v>-33</v>
      </c>
      <c r="Q9" s="65">
        <v>-53</v>
      </c>
      <c r="R9" s="65" t="s">
        <v>214</v>
      </c>
    </row>
    <row r="10" spans="1:18" x14ac:dyDescent="0.2">
      <c r="A10" t="s">
        <v>156</v>
      </c>
      <c r="E10" s="65">
        <v>738</v>
      </c>
      <c r="F10" s="65">
        <v>3520</v>
      </c>
      <c r="G10" s="65">
        <v>7813</v>
      </c>
      <c r="H10" s="88" t="s">
        <v>214</v>
      </c>
      <c r="K10" t="s">
        <v>197</v>
      </c>
      <c r="O10" s="65">
        <v>38</v>
      </c>
      <c r="P10" s="65">
        <v>56</v>
      </c>
      <c r="Q10" s="65">
        <v>748</v>
      </c>
      <c r="R10" s="65" t="s">
        <v>214</v>
      </c>
    </row>
    <row r="11" spans="1:18" x14ac:dyDescent="0.2">
      <c r="A11" t="s">
        <v>157</v>
      </c>
      <c r="E11" s="65">
        <v>1059</v>
      </c>
      <c r="F11" s="65">
        <v>2625</v>
      </c>
      <c r="G11" s="65">
        <v>2671</v>
      </c>
      <c r="H11" s="88" t="s">
        <v>214</v>
      </c>
      <c r="K11" t="s">
        <v>198</v>
      </c>
      <c r="O11" s="65">
        <v>0</v>
      </c>
      <c r="P11" s="65">
        <v>0</v>
      </c>
      <c r="Q11" s="65">
        <v>312</v>
      </c>
      <c r="R11" s="65" t="s">
        <v>214</v>
      </c>
    </row>
    <row r="12" spans="1:18" x14ac:dyDescent="0.2">
      <c r="A12" t="s">
        <v>158</v>
      </c>
      <c r="E12" s="65">
        <v>686</v>
      </c>
      <c r="F12" s="65">
        <v>1604</v>
      </c>
      <c r="G12" s="65">
        <v>6906</v>
      </c>
      <c r="H12" s="88" t="s">
        <v>214</v>
      </c>
      <c r="K12" t="s">
        <v>199</v>
      </c>
      <c r="O12" s="65">
        <v>886</v>
      </c>
      <c r="P12" s="65">
        <v>-78</v>
      </c>
      <c r="Q12" s="65">
        <v>0</v>
      </c>
      <c r="R12" s="65" t="s">
        <v>214</v>
      </c>
    </row>
    <row r="13" spans="1:18" x14ac:dyDescent="0.2">
      <c r="A13" t="s">
        <v>159</v>
      </c>
      <c r="E13" s="65">
        <v>65</v>
      </c>
      <c r="F13" s="65">
        <v>869</v>
      </c>
      <c r="G13" s="65">
        <v>1686</v>
      </c>
      <c r="H13" s="88" t="s">
        <v>214</v>
      </c>
      <c r="K13" t="s">
        <v>200</v>
      </c>
      <c r="O13" s="65">
        <v>9</v>
      </c>
      <c r="P13" s="65">
        <v>22</v>
      </c>
      <c r="Q13" s="65">
        <v>0</v>
      </c>
      <c r="R13" s="65" t="s">
        <v>214</v>
      </c>
    </row>
    <row r="14" spans="1:18" ht="15" x14ac:dyDescent="0.35">
      <c r="A14" t="s">
        <v>160</v>
      </c>
      <c r="E14" s="65">
        <v>185</v>
      </c>
      <c r="F14" s="65">
        <v>575</v>
      </c>
      <c r="G14" s="65">
        <v>863</v>
      </c>
      <c r="H14" s="88" t="s">
        <v>214</v>
      </c>
      <c r="K14" t="s">
        <v>216</v>
      </c>
      <c r="O14" s="78">
        <v>52</v>
      </c>
      <c r="P14" s="78">
        <v>-351</v>
      </c>
      <c r="Q14" s="78">
        <v>-486</v>
      </c>
      <c r="R14" s="78" t="s">
        <v>214</v>
      </c>
    </row>
    <row r="15" spans="1:18" x14ac:dyDescent="0.2">
      <c r="A15" t="s">
        <v>161</v>
      </c>
      <c r="E15" s="65">
        <v>6</v>
      </c>
      <c r="F15" s="65">
        <v>619</v>
      </c>
      <c r="G15" s="65">
        <v>881</v>
      </c>
      <c r="H15" s="88" t="s">
        <v>214</v>
      </c>
      <c r="K15" t="s">
        <v>205</v>
      </c>
      <c r="O15" s="65">
        <f>SUM(O8:O14)</f>
        <v>2862</v>
      </c>
      <c r="P15" s="65">
        <f>SUM(P8:P14)</f>
        <v>5444</v>
      </c>
      <c r="Q15" s="65">
        <f>SUM(Q8:Q14)</f>
        <v>8922</v>
      </c>
      <c r="R15" s="65">
        <v>9000</v>
      </c>
    </row>
    <row r="16" spans="1:18" x14ac:dyDescent="0.2">
      <c r="A16" t="s">
        <v>162</v>
      </c>
      <c r="E16" s="65">
        <v>0</v>
      </c>
      <c r="F16" s="65">
        <v>4</v>
      </c>
      <c r="G16" s="65">
        <v>300</v>
      </c>
      <c r="H16" s="88" t="s">
        <v>214</v>
      </c>
      <c r="O16" s="65"/>
      <c r="P16" s="65"/>
      <c r="Q16" s="65"/>
      <c r="R16" s="65"/>
    </row>
    <row r="17" spans="1:18" x14ac:dyDescent="0.2">
      <c r="A17" t="s">
        <v>163</v>
      </c>
      <c r="E17" s="65">
        <v>619</v>
      </c>
      <c r="F17" s="65">
        <v>266</v>
      </c>
      <c r="G17" s="65">
        <v>159</v>
      </c>
      <c r="H17" s="88" t="s">
        <v>214</v>
      </c>
      <c r="K17" s="80" t="s">
        <v>209</v>
      </c>
      <c r="O17" s="65"/>
      <c r="P17" s="65"/>
      <c r="Q17" s="65"/>
      <c r="R17" s="65"/>
    </row>
    <row r="18" spans="1:18" x14ac:dyDescent="0.2">
      <c r="A18" t="s">
        <v>217</v>
      </c>
      <c r="E18" s="65">
        <v>1333</v>
      </c>
      <c r="F18" s="65">
        <v>232</v>
      </c>
      <c r="G18" s="65">
        <v>0</v>
      </c>
      <c r="H18" s="88" t="s">
        <v>214</v>
      </c>
      <c r="K18" t="s">
        <v>203</v>
      </c>
      <c r="O18" s="65">
        <v>3909</v>
      </c>
      <c r="P18" s="65">
        <v>5488</v>
      </c>
      <c r="Q18" s="65">
        <v>6199</v>
      </c>
      <c r="R18" s="65">
        <v>9364</v>
      </c>
    </row>
    <row r="19" spans="1:18" x14ac:dyDescent="0.2">
      <c r="A19" t="s">
        <v>164</v>
      </c>
      <c r="E19" s="65">
        <v>203</v>
      </c>
      <c r="F19" s="65">
        <v>-37</v>
      </c>
      <c r="G19" s="65">
        <v>306</v>
      </c>
      <c r="H19" s="88" t="s">
        <v>214</v>
      </c>
      <c r="K19" t="s">
        <v>204</v>
      </c>
      <c r="O19" s="74">
        <v>2000</v>
      </c>
      <c r="P19" s="74">
        <v>703</v>
      </c>
      <c r="Q19" s="74">
        <v>1309</v>
      </c>
      <c r="R19" s="74">
        <v>0</v>
      </c>
    </row>
    <row r="20" spans="1:18" x14ac:dyDescent="0.2">
      <c r="A20" t="s">
        <v>165</v>
      </c>
      <c r="E20" s="65">
        <v>21</v>
      </c>
      <c r="F20" s="65">
        <v>64</v>
      </c>
      <c r="G20" s="65">
        <v>282</v>
      </c>
      <c r="H20" s="88" t="s">
        <v>214</v>
      </c>
      <c r="K20" t="s">
        <v>205</v>
      </c>
      <c r="O20" s="65">
        <f>SUM(O16:O19)</f>
        <v>5909</v>
      </c>
      <c r="P20" s="65">
        <f>SUM(P16:P19)</f>
        <v>6191</v>
      </c>
      <c r="Q20" s="65">
        <f>SUM(Q16:Q19)</f>
        <v>7508</v>
      </c>
      <c r="R20" s="65">
        <f>SUM(R16:R19)</f>
        <v>9364</v>
      </c>
    </row>
    <row r="21" spans="1:18" x14ac:dyDescent="0.2">
      <c r="A21" t="s">
        <v>166</v>
      </c>
      <c r="E21" s="65">
        <v>76</v>
      </c>
      <c r="F21" s="65">
        <v>42</v>
      </c>
      <c r="G21" s="65">
        <v>38</v>
      </c>
      <c r="H21" s="88" t="s">
        <v>214</v>
      </c>
      <c r="O21" s="65"/>
      <c r="P21" s="65"/>
      <c r="Q21" s="65"/>
      <c r="R21" s="65"/>
    </row>
    <row r="22" spans="1:18" x14ac:dyDescent="0.2">
      <c r="A22" t="s">
        <v>167</v>
      </c>
      <c r="E22" s="65">
        <v>0</v>
      </c>
      <c r="F22" s="65">
        <v>134</v>
      </c>
      <c r="G22" s="65">
        <v>992</v>
      </c>
      <c r="H22" s="88" t="s">
        <v>214</v>
      </c>
      <c r="K22" s="80" t="s">
        <v>210</v>
      </c>
      <c r="O22" s="65"/>
      <c r="P22" s="65"/>
      <c r="Q22" s="65"/>
      <c r="R22" s="65"/>
    </row>
    <row r="23" spans="1:18" x14ac:dyDescent="0.2">
      <c r="A23" t="s">
        <v>168</v>
      </c>
      <c r="E23" s="65">
        <v>0</v>
      </c>
      <c r="F23" s="65">
        <v>2</v>
      </c>
      <c r="G23" s="65">
        <v>30</v>
      </c>
      <c r="H23" s="88" t="s">
        <v>214</v>
      </c>
      <c r="K23" t="s">
        <v>195</v>
      </c>
      <c r="O23" s="65">
        <v>2685</v>
      </c>
      <c r="P23" s="65">
        <v>118</v>
      </c>
      <c r="Q23" s="65">
        <v>642</v>
      </c>
      <c r="R23" s="91" t="s">
        <v>211</v>
      </c>
    </row>
    <row r="24" spans="1:18" x14ac:dyDescent="0.2">
      <c r="A24" t="s">
        <v>169</v>
      </c>
      <c r="E24" s="65">
        <v>0</v>
      </c>
      <c r="F24" s="65">
        <v>144</v>
      </c>
      <c r="G24" s="65">
        <v>24</v>
      </c>
      <c r="H24" s="88" t="s">
        <v>214</v>
      </c>
      <c r="K24" t="s">
        <v>199</v>
      </c>
      <c r="O24" s="65">
        <v>454</v>
      </c>
      <c r="P24" s="65">
        <v>-1248</v>
      </c>
      <c r="Q24" s="65">
        <v>0</v>
      </c>
      <c r="R24" s="91" t="s">
        <v>211</v>
      </c>
    </row>
    <row r="25" spans="1:18" x14ac:dyDescent="0.2">
      <c r="A25" t="s">
        <v>170</v>
      </c>
      <c r="E25" s="65">
        <v>393</v>
      </c>
      <c r="F25" s="65">
        <v>302</v>
      </c>
      <c r="G25" s="65">
        <v>-3</v>
      </c>
      <c r="H25" s="88" t="s">
        <v>214</v>
      </c>
      <c r="K25" t="s">
        <v>201</v>
      </c>
      <c r="O25" s="65">
        <v>-465</v>
      </c>
      <c r="P25" s="65">
        <v>1412</v>
      </c>
      <c r="Q25" s="65">
        <v>0</v>
      </c>
      <c r="R25" s="91" t="s">
        <v>211</v>
      </c>
    </row>
    <row r="26" spans="1:18" x14ac:dyDescent="0.2">
      <c r="A26" t="s">
        <v>171</v>
      </c>
      <c r="E26" s="65">
        <v>0</v>
      </c>
      <c r="F26" s="65">
        <v>0</v>
      </c>
      <c r="G26" s="65">
        <v>6</v>
      </c>
      <c r="H26" s="88" t="s">
        <v>214</v>
      </c>
      <c r="K26" t="s">
        <v>202</v>
      </c>
      <c r="O26" s="89">
        <v>236</v>
      </c>
      <c r="P26" s="89">
        <v>-139</v>
      </c>
      <c r="Q26" s="89">
        <v>0</v>
      </c>
      <c r="R26" s="93" t="s">
        <v>211</v>
      </c>
    </row>
    <row r="27" spans="1:18" x14ac:dyDescent="0.2">
      <c r="A27" t="s">
        <v>172</v>
      </c>
      <c r="E27" s="65">
        <v>428</v>
      </c>
      <c r="F27" s="65">
        <v>133</v>
      </c>
      <c r="G27" s="65">
        <v>0</v>
      </c>
      <c r="H27" s="88" t="s">
        <v>214</v>
      </c>
      <c r="K27" t="s">
        <v>218</v>
      </c>
      <c r="O27" s="65">
        <v>810</v>
      </c>
      <c r="P27" s="89">
        <v>26</v>
      </c>
      <c r="Q27" s="89">
        <v>0</v>
      </c>
      <c r="R27" s="93" t="s">
        <v>211</v>
      </c>
    </row>
    <row r="28" spans="1:18" ht="15" x14ac:dyDescent="0.35">
      <c r="A28" t="s">
        <v>173</v>
      </c>
      <c r="E28" s="65">
        <v>17</v>
      </c>
      <c r="F28" s="65">
        <v>0</v>
      </c>
      <c r="G28" s="65">
        <v>7</v>
      </c>
      <c r="H28" s="88" t="s">
        <v>214</v>
      </c>
      <c r="K28" t="s">
        <v>219</v>
      </c>
      <c r="O28" s="78">
        <v>1170</v>
      </c>
      <c r="P28" s="78">
        <v>407</v>
      </c>
      <c r="Q28" s="78">
        <v>61</v>
      </c>
      <c r="R28" s="93" t="s">
        <v>211</v>
      </c>
    </row>
    <row r="29" spans="1:18" x14ac:dyDescent="0.2">
      <c r="A29" t="s">
        <v>174</v>
      </c>
      <c r="E29" s="89">
        <v>0</v>
      </c>
      <c r="F29" s="89">
        <v>0</v>
      </c>
      <c r="G29" s="89">
        <v>0</v>
      </c>
      <c r="H29" s="88" t="s">
        <v>214</v>
      </c>
      <c r="K29" t="s">
        <v>205</v>
      </c>
      <c r="O29" s="65">
        <f>SUM(O23:O28)</f>
        <v>4890</v>
      </c>
      <c r="P29" s="65">
        <f>SUM(P23:P28)</f>
        <v>576</v>
      </c>
      <c r="Q29" s="65">
        <f>SUM(Q23:Q28)</f>
        <v>703</v>
      </c>
      <c r="R29" s="65">
        <v>0</v>
      </c>
    </row>
    <row r="30" spans="1:18" ht="15" x14ac:dyDescent="0.35">
      <c r="A30" t="s">
        <v>216</v>
      </c>
      <c r="E30" s="74">
        <v>6855</v>
      </c>
      <c r="F30" s="74">
        <v>4625</v>
      </c>
      <c r="G30" s="74">
        <v>-990</v>
      </c>
      <c r="H30" s="90" t="s">
        <v>214</v>
      </c>
      <c r="O30" s="65"/>
      <c r="P30" s="65"/>
      <c r="Q30" s="65"/>
      <c r="R30" s="65"/>
    </row>
    <row r="31" spans="1:18" x14ac:dyDescent="0.2">
      <c r="A31" t="s">
        <v>205</v>
      </c>
      <c r="E31" s="65">
        <f>SUM(E7:E30)</f>
        <v>23349</v>
      </c>
      <c r="F31" s="65">
        <f>SUM(F7:F30)</f>
        <v>28711</v>
      </c>
      <c r="G31" s="65">
        <f>SUM(G7:G30)</f>
        <v>51761</v>
      </c>
      <c r="H31" s="65">
        <v>66755</v>
      </c>
      <c r="K31" t="s">
        <v>220</v>
      </c>
      <c r="O31" s="65">
        <v>6131</v>
      </c>
      <c r="P31" s="65">
        <v>7547</v>
      </c>
      <c r="Q31" s="65">
        <v>14102</v>
      </c>
      <c r="R31" s="65">
        <v>15752</v>
      </c>
    </row>
    <row r="32" spans="1:18" x14ac:dyDescent="0.2">
      <c r="E32" s="65"/>
      <c r="F32" s="65"/>
      <c r="G32" s="65"/>
      <c r="H32" s="65"/>
      <c r="O32" s="65"/>
      <c r="P32" s="65"/>
      <c r="Q32" s="65"/>
      <c r="R32" s="65"/>
    </row>
    <row r="33" spans="1:18" x14ac:dyDescent="0.2">
      <c r="A33" s="80" t="s">
        <v>212</v>
      </c>
      <c r="E33" s="65"/>
      <c r="F33" s="65"/>
      <c r="G33" s="65"/>
      <c r="H33" s="65"/>
      <c r="K33" s="82" t="s">
        <v>206</v>
      </c>
      <c r="L33" s="69"/>
      <c r="M33" s="69"/>
      <c r="N33" s="69"/>
      <c r="O33" s="92">
        <f>+E31+E53+O15+O20+O29+O31</f>
        <v>46299</v>
      </c>
      <c r="P33" s="92">
        <f>+F31+F53+P15+P20+P29+P31</f>
        <v>61860</v>
      </c>
      <c r="Q33" s="92">
        <f>+G31+G53+Q15+Q20+Q29+Q31</f>
        <v>94611</v>
      </c>
      <c r="R33" s="92">
        <f>+H31+H53+R15+R20+R29+R31</f>
        <v>114871</v>
      </c>
    </row>
    <row r="34" spans="1:18" hidden="1" outlineLevel="1" x14ac:dyDescent="0.2">
      <c r="A34" t="s">
        <v>175</v>
      </c>
      <c r="E34" s="65"/>
      <c r="F34" s="65"/>
      <c r="G34" s="65"/>
      <c r="H34" s="65"/>
      <c r="O34" s="76"/>
      <c r="P34" s="76"/>
      <c r="Q34" s="76"/>
      <c r="R34" s="76"/>
    </row>
    <row r="35" spans="1:18" hidden="1" outlineLevel="1" x14ac:dyDescent="0.2">
      <c r="A35" t="s">
        <v>176</v>
      </c>
      <c r="E35" s="65"/>
      <c r="F35" s="65"/>
      <c r="G35" s="65"/>
      <c r="H35" s="65"/>
    </row>
    <row r="36" spans="1:18" hidden="1" outlineLevel="1" x14ac:dyDescent="0.2">
      <c r="A36" t="s">
        <v>177</v>
      </c>
      <c r="E36" s="65"/>
      <c r="F36" s="65"/>
      <c r="G36" s="65"/>
      <c r="H36" s="65"/>
    </row>
    <row r="37" spans="1:18" hidden="1" outlineLevel="1" x14ac:dyDescent="0.2">
      <c r="A37" t="s">
        <v>178</v>
      </c>
      <c r="E37" s="65"/>
      <c r="F37" s="65"/>
      <c r="G37" s="65"/>
      <c r="H37" s="65"/>
    </row>
    <row r="38" spans="1:18" hidden="1" outlineLevel="1" x14ac:dyDescent="0.2">
      <c r="A38" t="s">
        <v>179</v>
      </c>
      <c r="E38" s="65"/>
      <c r="F38" s="65"/>
      <c r="G38" s="65"/>
      <c r="H38" s="65"/>
    </row>
    <row r="39" spans="1:18" hidden="1" outlineLevel="1" x14ac:dyDescent="0.2">
      <c r="A39" t="s">
        <v>180</v>
      </c>
      <c r="E39" s="65"/>
      <c r="F39" s="65"/>
      <c r="G39" s="65"/>
      <c r="H39" s="65"/>
    </row>
    <row r="40" spans="1:18" hidden="1" outlineLevel="1" x14ac:dyDescent="0.2">
      <c r="A40" t="s">
        <v>181</v>
      </c>
      <c r="E40" s="65"/>
      <c r="F40" s="65"/>
      <c r="G40" s="65"/>
      <c r="H40" s="65"/>
    </row>
    <row r="41" spans="1:18" hidden="1" outlineLevel="1" x14ac:dyDescent="0.2">
      <c r="A41" t="s">
        <v>182</v>
      </c>
      <c r="E41" s="65"/>
      <c r="F41" s="65"/>
      <c r="G41" s="65"/>
      <c r="H41" s="65"/>
    </row>
    <row r="42" spans="1:18" hidden="1" outlineLevel="1" x14ac:dyDescent="0.2">
      <c r="A42" t="s">
        <v>183</v>
      </c>
      <c r="E42" s="65"/>
      <c r="F42" s="65"/>
      <c r="G42" s="65"/>
      <c r="H42" s="65"/>
    </row>
    <row r="43" spans="1:18" hidden="1" outlineLevel="1" x14ac:dyDescent="0.2">
      <c r="A43" t="s">
        <v>184</v>
      </c>
      <c r="E43" s="65"/>
      <c r="F43" s="65"/>
      <c r="G43" s="65"/>
      <c r="H43" s="65"/>
    </row>
    <row r="44" spans="1:18" hidden="1" outlineLevel="1" x14ac:dyDescent="0.2">
      <c r="A44" t="s">
        <v>185</v>
      </c>
      <c r="E44" s="65"/>
      <c r="F44" s="65"/>
      <c r="G44" s="65"/>
      <c r="H44" s="65"/>
    </row>
    <row r="45" spans="1:18" hidden="1" outlineLevel="1" x14ac:dyDescent="0.2">
      <c r="A45" t="s">
        <v>186</v>
      </c>
      <c r="E45" s="65"/>
      <c r="F45" s="65"/>
      <c r="G45" s="65"/>
      <c r="H45" s="65"/>
    </row>
    <row r="46" spans="1:18" hidden="1" outlineLevel="1" x14ac:dyDescent="0.2">
      <c r="A46" t="s">
        <v>187</v>
      </c>
      <c r="E46" s="65"/>
      <c r="F46" s="65"/>
      <c r="G46" s="65"/>
      <c r="H46" s="65"/>
    </row>
    <row r="47" spans="1:18" hidden="1" outlineLevel="1" x14ac:dyDescent="0.2">
      <c r="A47" t="s">
        <v>188</v>
      </c>
      <c r="E47" s="65"/>
      <c r="F47" s="65"/>
      <c r="G47" s="65"/>
      <c r="H47" s="65"/>
    </row>
    <row r="48" spans="1:18" hidden="1" outlineLevel="1" x14ac:dyDescent="0.2">
      <c r="A48" t="s">
        <v>189</v>
      </c>
      <c r="E48" s="65"/>
      <c r="F48" s="65"/>
      <c r="G48" s="65"/>
      <c r="H48" s="65"/>
    </row>
    <row r="49" spans="1:17" hidden="1" outlineLevel="1" x14ac:dyDescent="0.2">
      <c r="A49" t="s">
        <v>190</v>
      </c>
      <c r="E49" s="65"/>
      <c r="F49" s="65"/>
      <c r="G49" s="65"/>
      <c r="H49" s="65"/>
    </row>
    <row r="50" spans="1:17" hidden="1" outlineLevel="1" x14ac:dyDescent="0.2">
      <c r="A50" t="s">
        <v>191</v>
      </c>
      <c r="E50" s="65"/>
      <c r="F50" s="65"/>
      <c r="G50" s="65"/>
      <c r="H50" s="65"/>
    </row>
    <row r="51" spans="1:17" hidden="1" outlineLevel="1" x14ac:dyDescent="0.2">
      <c r="A51" t="s">
        <v>192</v>
      </c>
      <c r="E51" s="65"/>
      <c r="F51" s="65"/>
      <c r="G51" s="65"/>
      <c r="H51" s="65"/>
    </row>
    <row r="52" spans="1:17" hidden="1" outlineLevel="1" x14ac:dyDescent="0.2">
      <c r="A52" t="s">
        <v>193</v>
      </c>
      <c r="E52" s="74"/>
      <c r="F52" s="74"/>
      <c r="G52" s="74"/>
      <c r="H52" s="74"/>
    </row>
    <row r="53" spans="1:17" collapsed="1" x14ac:dyDescent="0.2">
      <c r="A53" t="s">
        <v>205</v>
      </c>
      <c r="E53" s="65">
        <v>3158</v>
      </c>
      <c r="F53" s="65">
        <v>13391</v>
      </c>
      <c r="G53" s="65">
        <v>11615</v>
      </c>
      <c r="H53" s="65">
        <v>14000</v>
      </c>
    </row>
    <row r="54" spans="1:17" x14ac:dyDescent="0.2">
      <c r="E54" s="76"/>
      <c r="F54" s="76"/>
      <c r="G54" s="76"/>
      <c r="H54" s="76"/>
    </row>
    <row r="55" spans="1:17" x14ac:dyDescent="0.2">
      <c r="L55" s="66"/>
      <c r="O55" s="66"/>
      <c r="P55" s="66"/>
      <c r="Q55" s="66"/>
    </row>
    <row r="56" spans="1:17" x14ac:dyDescent="0.2">
      <c r="L56" s="66"/>
      <c r="M56" s="66"/>
      <c r="O56" s="66"/>
      <c r="P56" s="66"/>
      <c r="Q56" s="66"/>
    </row>
    <row r="57" spans="1:17" x14ac:dyDescent="0.2">
      <c r="L57" s="65"/>
    </row>
  </sheetData>
  <pageMargins left="0.25" right="0.25" top="1" bottom="0.5" header="0.5" footer="0.5"/>
  <pageSetup scale="80" orientation="landscape" verticalDpi="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4"/>
  <sheetViews>
    <sheetView showGridLines="0" zoomScale="80" workbookViewId="0">
      <selection activeCell="A30" sqref="A30"/>
    </sheetView>
  </sheetViews>
  <sheetFormatPr defaultRowHeight="12.75" outlineLevelRow="1" x14ac:dyDescent="0.2"/>
  <cols>
    <col min="5" max="7" width="10.28515625" customWidth="1"/>
    <col min="8" max="8" width="12.85546875" customWidth="1"/>
    <col min="9" max="9" width="3.5703125" customWidth="1"/>
    <col min="10" max="10" width="1.42578125" customWidth="1"/>
    <col min="13" max="13" width="6.140625" customWidth="1"/>
    <col min="14" max="14" width="5" customWidth="1"/>
    <col min="15" max="18" width="12.28515625" customWidth="1"/>
  </cols>
  <sheetData>
    <row r="1" spans="1:18" ht="15.75" x14ac:dyDescent="0.2">
      <c r="A1" s="86" t="s">
        <v>221</v>
      </c>
      <c r="B1" s="85"/>
      <c r="C1" s="85"/>
      <c r="D1" s="85"/>
      <c r="E1" s="85"/>
      <c r="F1" s="85"/>
      <c r="G1" s="85"/>
      <c r="H1" s="85"/>
      <c r="I1" s="85"/>
      <c r="J1" s="85"/>
      <c r="K1" s="85"/>
      <c r="L1" s="85"/>
      <c r="M1" s="85"/>
      <c r="N1" s="85"/>
      <c r="O1" s="85"/>
      <c r="P1" s="85"/>
      <c r="Q1" s="85"/>
      <c r="R1" s="85"/>
    </row>
    <row r="4" spans="1:18" x14ac:dyDescent="0.2">
      <c r="E4" s="68">
        <v>1998</v>
      </c>
      <c r="F4" s="69">
        <v>1999</v>
      </c>
      <c r="G4" s="69">
        <v>2000</v>
      </c>
      <c r="H4" s="70">
        <v>2001</v>
      </c>
      <c r="O4" s="68">
        <v>1998</v>
      </c>
      <c r="P4" s="69">
        <v>1999</v>
      </c>
      <c r="Q4" s="69">
        <v>2000</v>
      </c>
      <c r="R4" s="70">
        <v>2001</v>
      </c>
    </row>
    <row r="6" spans="1:18" x14ac:dyDescent="0.2">
      <c r="A6" s="80" t="s">
        <v>207</v>
      </c>
    </row>
    <row r="7" spans="1:18" x14ac:dyDescent="0.2">
      <c r="A7" t="s">
        <v>153</v>
      </c>
      <c r="E7" s="94">
        <v>2.5100000000000001E-2</v>
      </c>
      <c r="F7" s="94">
        <v>2.3800000000000002E-2</v>
      </c>
      <c r="G7" s="94">
        <v>4.4699999999999997E-2</v>
      </c>
      <c r="H7" s="95" t="s">
        <v>214</v>
      </c>
      <c r="I7" s="96"/>
      <c r="J7" s="96"/>
      <c r="K7" s="97" t="s">
        <v>208</v>
      </c>
      <c r="L7" s="96"/>
      <c r="M7" s="96"/>
      <c r="N7" s="96"/>
      <c r="O7" s="98"/>
      <c r="P7" s="98"/>
      <c r="Q7" s="98"/>
      <c r="R7" s="98"/>
    </row>
    <row r="8" spans="1:18" x14ac:dyDescent="0.2">
      <c r="A8" t="s">
        <v>154</v>
      </c>
      <c r="E8" s="94">
        <v>2.0299999999999999E-2</v>
      </c>
      <c r="F8" s="94">
        <v>1.7600000000000001E-2</v>
      </c>
      <c r="G8" s="94">
        <v>3.0499999999999999E-2</v>
      </c>
      <c r="H8" s="95" t="s">
        <v>214</v>
      </c>
      <c r="I8" s="96"/>
      <c r="J8" s="96"/>
      <c r="K8" s="96" t="s">
        <v>195</v>
      </c>
      <c r="L8" s="96"/>
      <c r="M8" s="96"/>
      <c r="N8" s="96"/>
      <c r="O8" s="94">
        <v>1.9599999999999999E-2</v>
      </c>
      <c r="P8" s="94">
        <v>3.5400000000000001E-2</v>
      </c>
      <c r="Q8" s="94">
        <v>2.9399999999999999E-2</v>
      </c>
      <c r="R8" s="95" t="s">
        <v>214</v>
      </c>
    </row>
    <row r="9" spans="1:18" x14ac:dyDescent="0.2">
      <c r="A9" t="s">
        <v>155</v>
      </c>
      <c r="E9" s="94">
        <v>3.49E-2</v>
      </c>
      <c r="F9" s="94">
        <v>8.5000000000000006E-2</v>
      </c>
      <c r="G9" s="94">
        <v>4.6199999999999998E-2</v>
      </c>
      <c r="H9" s="95" t="s">
        <v>214</v>
      </c>
      <c r="I9" s="96"/>
      <c r="J9" s="96"/>
      <c r="K9" s="96" t="s">
        <v>196</v>
      </c>
      <c r="L9" s="96"/>
      <c r="M9" s="96"/>
      <c r="N9" s="96"/>
      <c r="O9" s="94">
        <v>-1.1999999999999999E-3</v>
      </c>
      <c r="P9" s="94">
        <v>-1.7399999999999999E-2</v>
      </c>
      <c r="Q9" s="94">
        <v>-4.4999999999999998E-2</v>
      </c>
      <c r="R9" s="95" t="s">
        <v>214</v>
      </c>
    </row>
    <row r="10" spans="1:18" x14ac:dyDescent="0.2">
      <c r="A10" t="s">
        <v>156</v>
      </c>
      <c r="E10" s="94">
        <v>3.0800000000000001E-2</v>
      </c>
      <c r="F10" s="94">
        <v>9.6100000000000005E-2</v>
      </c>
      <c r="G10" s="94">
        <v>8.2600000000000007E-2</v>
      </c>
      <c r="H10" s="95" t="s">
        <v>214</v>
      </c>
      <c r="I10" s="96"/>
      <c r="J10" s="96"/>
      <c r="K10" s="96" t="s">
        <v>197</v>
      </c>
      <c r="L10" s="96"/>
      <c r="M10" s="96"/>
      <c r="N10" s="96"/>
      <c r="O10" s="94">
        <v>1.54E-2</v>
      </c>
      <c r="P10" s="94">
        <v>2.3300000000000001E-2</v>
      </c>
      <c r="Q10" s="94">
        <v>6.2E-2</v>
      </c>
      <c r="R10" s="95" t="s">
        <v>214</v>
      </c>
    </row>
    <row r="11" spans="1:18" x14ac:dyDescent="0.2">
      <c r="A11" t="s">
        <v>157</v>
      </c>
      <c r="E11" s="94">
        <v>3.2800000000000003E-2</v>
      </c>
      <c r="F11" s="94">
        <v>2.46E-2</v>
      </c>
      <c r="G11" s="94">
        <v>2.3E-2</v>
      </c>
      <c r="H11" s="95" t="s">
        <v>214</v>
      </c>
      <c r="I11" s="96"/>
      <c r="J11" s="96"/>
      <c r="K11" s="96" t="s">
        <v>198</v>
      </c>
      <c r="L11" s="96"/>
      <c r="M11" s="96"/>
      <c r="N11" s="96"/>
      <c r="O11" s="95" t="s">
        <v>214</v>
      </c>
      <c r="P11" s="95" t="s">
        <v>214</v>
      </c>
      <c r="Q11" s="95" t="s">
        <v>214</v>
      </c>
      <c r="R11" s="95" t="s">
        <v>214</v>
      </c>
    </row>
    <row r="12" spans="1:18" x14ac:dyDescent="0.2">
      <c r="A12" t="s">
        <v>158</v>
      </c>
      <c r="E12" s="94">
        <v>4.1000000000000002E-2</v>
      </c>
      <c r="F12" s="94">
        <v>5.6399999999999999E-2</v>
      </c>
      <c r="G12" s="94">
        <v>9.4399999999999998E-2</v>
      </c>
      <c r="H12" s="95" t="s">
        <v>214</v>
      </c>
      <c r="I12" s="96"/>
      <c r="J12" s="96"/>
      <c r="K12" s="96" t="s">
        <v>199</v>
      </c>
      <c r="L12" s="96"/>
      <c r="M12" s="96"/>
      <c r="N12" s="96"/>
      <c r="O12" s="94">
        <v>3.1800000000000002E-2</v>
      </c>
      <c r="P12" s="94">
        <v>-5.3E-3</v>
      </c>
      <c r="Q12" s="94">
        <v>0</v>
      </c>
      <c r="R12" s="95" t="s">
        <v>214</v>
      </c>
    </row>
    <row r="13" spans="1:18" x14ac:dyDescent="0.2">
      <c r="A13" t="s">
        <v>159</v>
      </c>
      <c r="E13" s="94">
        <v>0.1091</v>
      </c>
      <c r="F13" s="94">
        <v>9.2899999999999996E-2</v>
      </c>
      <c r="G13" s="94">
        <v>0.1024</v>
      </c>
      <c r="H13" s="95" t="s">
        <v>214</v>
      </c>
      <c r="I13" s="96"/>
      <c r="J13" s="96"/>
      <c r="K13" s="96" t="s">
        <v>200</v>
      </c>
      <c r="L13" s="96"/>
      <c r="M13" s="96"/>
      <c r="N13" s="96"/>
      <c r="O13" s="94">
        <v>6.1000000000000004E-3</v>
      </c>
      <c r="P13" s="94">
        <v>1.3100000000000001E-2</v>
      </c>
      <c r="Q13" s="94">
        <v>0</v>
      </c>
      <c r="R13" s="95" t="s">
        <v>214</v>
      </c>
    </row>
    <row r="14" spans="1:18" ht="15" x14ac:dyDescent="0.35">
      <c r="A14" t="s">
        <v>160</v>
      </c>
      <c r="E14" s="94">
        <v>2.7400000000000001E-2</v>
      </c>
      <c r="F14" s="94">
        <v>1.34E-2</v>
      </c>
      <c r="G14" s="94">
        <v>1.21E-2</v>
      </c>
      <c r="H14" s="95" t="s">
        <v>214</v>
      </c>
      <c r="I14" s="96"/>
      <c r="J14" s="96"/>
      <c r="K14" s="96" t="s">
        <v>216</v>
      </c>
      <c r="L14" s="96"/>
      <c r="M14" s="96"/>
      <c r="N14" s="96"/>
      <c r="O14" s="99">
        <v>0</v>
      </c>
      <c r="P14" s="99">
        <v>0</v>
      </c>
      <c r="Q14" s="99">
        <v>0</v>
      </c>
      <c r="R14" s="103" t="s">
        <v>214</v>
      </c>
    </row>
    <row r="15" spans="1:18" x14ac:dyDescent="0.2">
      <c r="A15" t="s">
        <v>161</v>
      </c>
      <c r="E15" s="94">
        <v>1E-4</v>
      </c>
      <c r="F15" s="94">
        <v>1.1900000000000001E-2</v>
      </c>
      <c r="G15" s="94">
        <v>1.38E-2</v>
      </c>
      <c r="H15" s="95" t="s">
        <v>214</v>
      </c>
      <c r="I15" s="96"/>
      <c r="J15" s="96"/>
      <c r="K15" s="96" t="s">
        <v>205</v>
      </c>
      <c r="L15" s="96"/>
      <c r="M15" s="96"/>
      <c r="N15" s="96"/>
      <c r="O15" s="94">
        <v>2.1899999999999999E-2</v>
      </c>
      <c r="P15" s="94">
        <v>2.9399999999999999E-2</v>
      </c>
      <c r="Q15" s="94">
        <v>3.0499999999999999E-2</v>
      </c>
      <c r="R15" s="95" t="s">
        <v>214</v>
      </c>
    </row>
    <row r="16" spans="1:18" x14ac:dyDescent="0.2">
      <c r="A16" t="s">
        <v>162</v>
      </c>
      <c r="E16" s="94">
        <v>0</v>
      </c>
      <c r="F16" s="94">
        <v>8.0000000000000004E-4</v>
      </c>
      <c r="G16" s="94">
        <v>3.0700000000000002E-2</v>
      </c>
      <c r="H16" s="95" t="s">
        <v>214</v>
      </c>
      <c r="I16" s="96"/>
      <c r="J16" s="96"/>
      <c r="K16" s="96"/>
      <c r="L16" s="96"/>
      <c r="M16" s="96"/>
      <c r="N16" s="96"/>
      <c r="O16" s="94"/>
      <c r="P16" s="94"/>
      <c r="Q16" s="94"/>
      <c r="R16" s="94"/>
    </row>
    <row r="17" spans="1:18" x14ac:dyDescent="0.2">
      <c r="A17" t="s">
        <v>163</v>
      </c>
      <c r="E17" s="94">
        <v>5.4600000000000003E-2</v>
      </c>
      <c r="F17" s="94">
        <v>3.0300000000000001E-2</v>
      </c>
      <c r="G17" s="94">
        <v>2.5000000000000001E-2</v>
      </c>
      <c r="H17" s="95" t="s">
        <v>214</v>
      </c>
      <c r="I17" s="96"/>
      <c r="J17" s="96"/>
      <c r="K17" s="97" t="s">
        <v>209</v>
      </c>
      <c r="L17" s="96"/>
      <c r="M17" s="96"/>
      <c r="N17" s="96"/>
      <c r="O17" s="94"/>
      <c r="P17" s="94"/>
      <c r="Q17" s="94"/>
      <c r="R17" s="94"/>
    </row>
    <row r="18" spans="1:18" x14ac:dyDescent="0.2">
      <c r="A18" t="s">
        <v>217</v>
      </c>
      <c r="E18" s="94">
        <v>5.1299999999999998E-2</v>
      </c>
      <c r="F18" s="94">
        <v>1.72E-2</v>
      </c>
      <c r="G18" s="94">
        <v>0</v>
      </c>
      <c r="H18" s="95" t="s">
        <v>214</v>
      </c>
      <c r="I18" s="96"/>
      <c r="J18" s="96"/>
      <c r="K18" s="96" t="s">
        <v>203</v>
      </c>
      <c r="L18" s="96"/>
      <c r="M18" s="96"/>
      <c r="N18" s="96"/>
      <c r="O18" s="95" t="s">
        <v>214</v>
      </c>
      <c r="P18" s="95" t="s">
        <v>214</v>
      </c>
      <c r="Q18" s="95" t="s">
        <v>214</v>
      </c>
      <c r="R18" s="95" t="s">
        <v>214</v>
      </c>
    </row>
    <row r="19" spans="1:18" x14ac:dyDescent="0.2">
      <c r="A19" t="s">
        <v>164</v>
      </c>
      <c r="E19" s="94">
        <v>3.5099999999999999E-2</v>
      </c>
      <c r="F19" s="94">
        <v>-6.7599999999999993E-2</v>
      </c>
      <c r="G19" s="94">
        <v>3.78E-2</v>
      </c>
      <c r="H19" s="95" t="s">
        <v>214</v>
      </c>
      <c r="I19" s="96"/>
      <c r="J19" s="96"/>
      <c r="K19" s="96" t="s">
        <v>204</v>
      </c>
      <c r="L19" s="96"/>
      <c r="M19" s="96"/>
      <c r="N19" s="96"/>
      <c r="O19" s="107" t="s">
        <v>214</v>
      </c>
      <c r="P19" s="107" t="s">
        <v>214</v>
      </c>
      <c r="Q19" s="107" t="s">
        <v>214</v>
      </c>
      <c r="R19" s="107" t="s">
        <v>214</v>
      </c>
    </row>
    <row r="20" spans="1:18" x14ac:dyDescent="0.2">
      <c r="A20" t="s">
        <v>165</v>
      </c>
      <c r="E20" s="94">
        <v>1.1000000000000001E-3</v>
      </c>
      <c r="F20" s="94">
        <v>1.2500000000000001E-2</v>
      </c>
      <c r="G20" s="94">
        <v>2.3300000000000001E-2</v>
      </c>
      <c r="H20" s="95" t="s">
        <v>214</v>
      </c>
      <c r="I20" s="96"/>
      <c r="J20" s="96"/>
      <c r="K20" s="96" t="s">
        <v>205</v>
      </c>
      <c r="L20" s="96"/>
      <c r="M20" s="96"/>
      <c r="N20" s="96"/>
      <c r="O20" s="94">
        <v>0.1245</v>
      </c>
      <c r="P20" s="94">
        <v>0.1263</v>
      </c>
      <c r="Q20" s="94">
        <v>7.5300000000000006E-2</v>
      </c>
      <c r="R20" s="95" t="s">
        <v>214</v>
      </c>
    </row>
    <row r="21" spans="1:18" x14ac:dyDescent="0.2">
      <c r="A21" t="s">
        <v>166</v>
      </c>
      <c r="E21" s="94">
        <v>3.9199999999999999E-2</v>
      </c>
      <c r="F21" s="94">
        <v>8.8000000000000005E-3</v>
      </c>
      <c r="G21" s="94">
        <v>1.01E-2</v>
      </c>
      <c r="H21" s="95" t="s">
        <v>214</v>
      </c>
      <c r="I21" s="96"/>
      <c r="J21" s="96"/>
      <c r="K21" s="96"/>
      <c r="L21" s="96"/>
      <c r="M21" s="96"/>
      <c r="N21" s="96"/>
      <c r="O21" s="94"/>
      <c r="P21" s="94"/>
      <c r="Q21" s="94"/>
      <c r="R21" s="94"/>
    </row>
    <row r="22" spans="1:18" x14ac:dyDescent="0.2">
      <c r="A22" t="s">
        <v>167</v>
      </c>
      <c r="E22" s="94">
        <v>0</v>
      </c>
      <c r="F22" s="94">
        <v>8.4900000000000003E-2</v>
      </c>
      <c r="G22" s="94">
        <v>0.13550000000000001</v>
      </c>
      <c r="H22" s="95" t="s">
        <v>214</v>
      </c>
      <c r="I22" s="96"/>
      <c r="J22" s="96"/>
      <c r="K22" s="97" t="s">
        <v>210</v>
      </c>
      <c r="L22" s="96"/>
      <c r="M22" s="96"/>
      <c r="N22" s="96"/>
      <c r="O22" s="94"/>
      <c r="P22" s="94"/>
      <c r="Q22" s="94"/>
      <c r="R22" s="94"/>
    </row>
    <row r="23" spans="1:18" x14ac:dyDescent="0.2">
      <c r="A23" t="s">
        <v>168</v>
      </c>
      <c r="E23" s="94">
        <v>0</v>
      </c>
      <c r="F23" s="94">
        <v>9.5200000000000007E-2</v>
      </c>
      <c r="G23" s="94">
        <v>4.6600000000000003E-2</v>
      </c>
      <c r="H23" s="95" t="s">
        <v>214</v>
      </c>
      <c r="I23" s="96"/>
      <c r="J23" s="96"/>
      <c r="K23" s="96" t="s">
        <v>195</v>
      </c>
      <c r="L23" s="96"/>
      <c r="M23" s="96"/>
      <c r="N23" s="96"/>
      <c r="O23" s="95" t="s">
        <v>214</v>
      </c>
      <c r="P23" s="95" t="s">
        <v>214</v>
      </c>
      <c r="Q23" s="95" t="s">
        <v>214</v>
      </c>
      <c r="R23" s="95" t="s">
        <v>211</v>
      </c>
    </row>
    <row r="24" spans="1:18" x14ac:dyDescent="0.2">
      <c r="A24" t="s">
        <v>169</v>
      </c>
      <c r="E24" s="94">
        <v>0</v>
      </c>
      <c r="F24" s="94">
        <v>2.76E-2</v>
      </c>
      <c r="G24" s="94">
        <v>6.0900000000000003E-2</v>
      </c>
      <c r="H24" s="95" t="s">
        <v>214</v>
      </c>
      <c r="I24" s="96"/>
      <c r="J24" s="96"/>
      <c r="K24" s="96" t="s">
        <v>199</v>
      </c>
      <c r="L24" s="96"/>
      <c r="M24" s="96"/>
      <c r="N24" s="96"/>
      <c r="O24" s="95" t="s">
        <v>214</v>
      </c>
      <c r="P24" s="95" t="s">
        <v>214</v>
      </c>
      <c r="Q24" s="95" t="s">
        <v>214</v>
      </c>
      <c r="R24" s="95" t="s">
        <v>211</v>
      </c>
    </row>
    <row r="25" spans="1:18" x14ac:dyDescent="0.2">
      <c r="A25" t="s">
        <v>170</v>
      </c>
      <c r="E25" s="94">
        <v>3.5299999999999998E-2</v>
      </c>
      <c r="F25" s="94">
        <v>4.82E-2</v>
      </c>
      <c r="G25" s="94">
        <v>-1.9099999999999999E-2</v>
      </c>
      <c r="H25" s="95" t="s">
        <v>214</v>
      </c>
      <c r="I25" s="96"/>
      <c r="J25" s="96"/>
      <c r="K25" s="96" t="s">
        <v>201</v>
      </c>
      <c r="L25" s="96"/>
      <c r="M25" s="96"/>
      <c r="N25" s="96"/>
      <c r="O25" s="95" t="s">
        <v>214</v>
      </c>
      <c r="P25" s="95" t="s">
        <v>214</v>
      </c>
      <c r="Q25" s="95" t="s">
        <v>214</v>
      </c>
      <c r="R25" s="95" t="s">
        <v>211</v>
      </c>
    </row>
    <row r="26" spans="1:18" x14ac:dyDescent="0.2">
      <c r="A26" t="s">
        <v>171</v>
      </c>
      <c r="E26" s="94">
        <v>0</v>
      </c>
      <c r="F26" s="94">
        <v>0</v>
      </c>
      <c r="G26" s="94">
        <v>3.4299999999999997E-2</v>
      </c>
      <c r="H26" s="95" t="s">
        <v>214</v>
      </c>
      <c r="I26" s="96"/>
      <c r="J26" s="96"/>
      <c r="K26" s="96" t="s">
        <v>202</v>
      </c>
      <c r="L26" s="96"/>
      <c r="M26" s="96"/>
      <c r="N26" s="96"/>
      <c r="O26" s="95" t="s">
        <v>214</v>
      </c>
      <c r="P26" s="95" t="s">
        <v>214</v>
      </c>
      <c r="Q26" s="95" t="s">
        <v>214</v>
      </c>
      <c r="R26" s="95" t="s">
        <v>211</v>
      </c>
    </row>
    <row r="27" spans="1:18" x14ac:dyDescent="0.2">
      <c r="A27" t="s">
        <v>172</v>
      </c>
      <c r="E27" s="94">
        <v>4.0000000000000002E-4</v>
      </c>
      <c r="F27" s="94">
        <v>5.3600000000000002E-2</v>
      </c>
      <c r="G27" s="94">
        <v>0</v>
      </c>
      <c r="H27" s="95" t="s">
        <v>214</v>
      </c>
      <c r="I27" s="96"/>
      <c r="J27" s="96"/>
      <c r="K27" s="96" t="s">
        <v>218</v>
      </c>
      <c r="L27" s="96"/>
      <c r="M27" s="96"/>
      <c r="N27" s="96"/>
      <c r="O27" s="95" t="s">
        <v>214</v>
      </c>
      <c r="P27" s="95" t="s">
        <v>214</v>
      </c>
      <c r="Q27" s="95" t="s">
        <v>214</v>
      </c>
      <c r="R27" s="95" t="s">
        <v>211</v>
      </c>
    </row>
    <row r="28" spans="1:18" x14ac:dyDescent="0.2">
      <c r="A28" t="s">
        <v>173</v>
      </c>
      <c r="E28" s="94">
        <v>0</v>
      </c>
      <c r="F28" s="94">
        <v>0</v>
      </c>
      <c r="G28" s="94">
        <v>0.12280000000000001</v>
      </c>
      <c r="H28" s="95" t="s">
        <v>214</v>
      </c>
      <c r="I28" s="96"/>
      <c r="J28" s="96"/>
      <c r="K28" s="96" t="s">
        <v>219</v>
      </c>
      <c r="L28" s="96"/>
      <c r="M28" s="96"/>
      <c r="N28" s="96"/>
      <c r="O28" s="107" t="s">
        <v>214</v>
      </c>
      <c r="P28" s="107" t="s">
        <v>214</v>
      </c>
      <c r="Q28" s="107" t="s">
        <v>214</v>
      </c>
      <c r="R28" s="107" t="s">
        <v>211</v>
      </c>
    </row>
    <row r="29" spans="1:18" x14ac:dyDescent="0.2">
      <c r="A29" t="s">
        <v>174</v>
      </c>
      <c r="E29" s="102">
        <v>0</v>
      </c>
      <c r="F29" s="102">
        <v>0</v>
      </c>
      <c r="G29" s="102">
        <v>0</v>
      </c>
      <c r="H29" s="95" t="s">
        <v>214</v>
      </c>
      <c r="I29" s="96"/>
      <c r="J29" s="96"/>
      <c r="K29" s="96" t="s">
        <v>205</v>
      </c>
      <c r="L29" s="96"/>
      <c r="M29" s="96"/>
      <c r="N29" s="96"/>
      <c r="O29" s="94">
        <v>4.2099999999999999E-2</v>
      </c>
      <c r="P29" s="94">
        <v>7.0000000000000001E-3</v>
      </c>
      <c r="Q29" s="94">
        <v>6.3100000000000003E-2</v>
      </c>
      <c r="R29" s="101" t="s">
        <v>211</v>
      </c>
    </row>
    <row r="30" spans="1:18" ht="15" x14ac:dyDescent="0.35">
      <c r="A30" t="s">
        <v>216</v>
      </c>
      <c r="E30" s="100">
        <v>1.7977000000000001</v>
      </c>
      <c r="F30" s="100">
        <v>3.1758999999999999</v>
      </c>
      <c r="G30" s="100">
        <v>-0.1305</v>
      </c>
      <c r="H30" s="103" t="s">
        <v>214</v>
      </c>
      <c r="I30" s="96"/>
      <c r="J30" s="96"/>
      <c r="K30" s="96"/>
      <c r="L30" s="96"/>
      <c r="M30" s="96"/>
      <c r="N30" s="96"/>
      <c r="O30" s="94"/>
      <c r="P30" s="94"/>
      <c r="Q30" s="94"/>
      <c r="R30" s="94"/>
    </row>
    <row r="31" spans="1:18" x14ac:dyDescent="0.2">
      <c r="A31" t="s">
        <v>205</v>
      </c>
      <c r="E31" s="94">
        <v>3.56E-2</v>
      </c>
      <c r="F31" s="94">
        <v>3.7600000000000001E-2</v>
      </c>
      <c r="G31" s="94">
        <v>4.0800000000000003E-2</v>
      </c>
      <c r="H31" s="95" t="s">
        <v>214</v>
      </c>
      <c r="I31" s="96"/>
      <c r="J31" s="96"/>
      <c r="K31" s="96" t="s">
        <v>220</v>
      </c>
      <c r="L31" s="96"/>
      <c r="M31" s="96"/>
      <c r="N31" s="96"/>
      <c r="O31" s="94">
        <v>4.4000000000000003E-3</v>
      </c>
      <c r="P31" s="94">
        <v>5.1000000000000004E-3</v>
      </c>
      <c r="Q31" s="94">
        <v>5.7999999999999996E-3</v>
      </c>
      <c r="R31" s="95" t="s">
        <v>214</v>
      </c>
    </row>
    <row r="32" spans="1:18" x14ac:dyDescent="0.2">
      <c r="E32" s="94"/>
      <c r="F32" s="94"/>
      <c r="G32" s="94"/>
      <c r="H32" s="94"/>
      <c r="I32" s="96"/>
      <c r="J32" s="96"/>
      <c r="K32" s="96"/>
      <c r="L32" s="96"/>
      <c r="M32" s="96"/>
      <c r="N32" s="96"/>
      <c r="O32" s="94"/>
      <c r="P32" s="94"/>
      <c r="Q32" s="94"/>
      <c r="R32" s="94"/>
    </row>
    <row r="33" spans="1:18" x14ac:dyDescent="0.2">
      <c r="A33" s="80" t="s">
        <v>212</v>
      </c>
      <c r="E33" s="94"/>
      <c r="F33" s="94"/>
      <c r="G33" s="94"/>
      <c r="H33" s="94"/>
      <c r="I33" s="96"/>
      <c r="J33" s="96"/>
      <c r="K33" s="104" t="s">
        <v>206</v>
      </c>
      <c r="L33" s="105"/>
      <c r="M33" s="105"/>
      <c r="N33" s="105"/>
      <c r="O33" s="106">
        <v>3.3500000000000002E-2</v>
      </c>
      <c r="P33" s="106">
        <v>4.1799999999999997E-2</v>
      </c>
      <c r="Q33" s="106">
        <v>3.8699999999999998E-2</v>
      </c>
      <c r="R33" s="108" t="s">
        <v>214</v>
      </c>
    </row>
    <row r="34" spans="1:18" hidden="1" outlineLevel="1" x14ac:dyDescent="0.2">
      <c r="A34" t="s">
        <v>175</v>
      </c>
      <c r="E34" s="94"/>
      <c r="F34" s="94"/>
      <c r="G34" s="94"/>
      <c r="H34" s="94"/>
      <c r="I34" s="96"/>
      <c r="J34" s="96"/>
      <c r="K34" s="96"/>
      <c r="L34" s="96"/>
      <c r="M34" s="96"/>
      <c r="N34" s="96"/>
      <c r="O34" s="98"/>
      <c r="P34" s="98"/>
      <c r="Q34" s="98"/>
      <c r="R34" s="98"/>
    </row>
    <row r="35" spans="1:18" hidden="1" outlineLevel="1" x14ac:dyDescent="0.2">
      <c r="A35" t="s">
        <v>176</v>
      </c>
      <c r="E35" s="94"/>
      <c r="F35" s="94"/>
      <c r="G35" s="94"/>
      <c r="H35" s="94"/>
      <c r="I35" s="96"/>
      <c r="J35" s="96"/>
      <c r="K35" s="96"/>
      <c r="L35" s="96"/>
      <c r="M35" s="96"/>
      <c r="N35" s="96"/>
      <c r="O35" s="96"/>
      <c r="P35" s="96"/>
      <c r="Q35" s="96"/>
      <c r="R35" s="96"/>
    </row>
    <row r="36" spans="1:18" hidden="1" outlineLevel="1" x14ac:dyDescent="0.2">
      <c r="A36" t="s">
        <v>177</v>
      </c>
      <c r="E36" s="94"/>
      <c r="F36" s="94"/>
      <c r="G36" s="94"/>
      <c r="H36" s="94"/>
      <c r="I36" s="96"/>
      <c r="J36" s="96"/>
      <c r="K36" s="96"/>
      <c r="L36" s="96"/>
      <c r="M36" s="96"/>
      <c r="N36" s="96"/>
      <c r="O36" s="96"/>
      <c r="P36" s="96"/>
      <c r="Q36" s="96"/>
      <c r="R36" s="96"/>
    </row>
    <row r="37" spans="1:18" hidden="1" outlineLevel="1" x14ac:dyDescent="0.2">
      <c r="A37" t="s">
        <v>178</v>
      </c>
      <c r="E37" s="94"/>
      <c r="F37" s="94"/>
      <c r="G37" s="94"/>
      <c r="H37" s="94"/>
      <c r="I37" s="96"/>
      <c r="J37" s="96"/>
      <c r="K37" s="96"/>
      <c r="L37" s="96"/>
      <c r="M37" s="96"/>
      <c r="N37" s="96"/>
      <c r="O37" s="96"/>
      <c r="P37" s="96"/>
      <c r="Q37" s="96"/>
      <c r="R37" s="96"/>
    </row>
    <row r="38" spans="1:18" hidden="1" outlineLevel="1" x14ac:dyDescent="0.2">
      <c r="A38" t="s">
        <v>179</v>
      </c>
      <c r="E38" s="94"/>
      <c r="F38" s="94"/>
      <c r="G38" s="94"/>
      <c r="H38" s="94"/>
      <c r="I38" s="96"/>
      <c r="J38" s="96"/>
      <c r="K38" s="96"/>
      <c r="L38" s="96"/>
      <c r="M38" s="96"/>
      <c r="N38" s="96"/>
      <c r="O38" s="96"/>
      <c r="P38" s="96"/>
      <c r="Q38" s="96"/>
      <c r="R38" s="96"/>
    </row>
    <row r="39" spans="1:18" hidden="1" outlineLevel="1" x14ac:dyDescent="0.2">
      <c r="A39" t="s">
        <v>180</v>
      </c>
      <c r="E39" s="94"/>
      <c r="F39" s="94"/>
      <c r="G39" s="94"/>
      <c r="H39" s="94"/>
      <c r="I39" s="96"/>
      <c r="J39" s="96"/>
      <c r="K39" s="96"/>
      <c r="L39" s="96"/>
      <c r="M39" s="96"/>
      <c r="N39" s="96"/>
      <c r="O39" s="96"/>
      <c r="P39" s="96"/>
      <c r="Q39" s="96"/>
      <c r="R39" s="96"/>
    </row>
    <row r="40" spans="1:18" hidden="1" outlineLevel="1" x14ac:dyDescent="0.2">
      <c r="A40" t="s">
        <v>181</v>
      </c>
      <c r="E40" s="94"/>
      <c r="F40" s="94"/>
      <c r="G40" s="94"/>
      <c r="H40" s="94"/>
      <c r="I40" s="96"/>
      <c r="J40" s="96"/>
      <c r="K40" s="96"/>
      <c r="L40" s="96"/>
      <c r="M40" s="96"/>
      <c r="N40" s="96"/>
      <c r="O40" s="96"/>
      <c r="P40" s="96"/>
      <c r="Q40" s="96"/>
      <c r="R40" s="96"/>
    </row>
    <row r="41" spans="1:18" hidden="1" outlineLevel="1" x14ac:dyDescent="0.2">
      <c r="A41" t="s">
        <v>182</v>
      </c>
      <c r="E41" s="94"/>
      <c r="F41" s="94"/>
      <c r="G41" s="94"/>
      <c r="H41" s="94"/>
      <c r="I41" s="96"/>
      <c r="J41" s="96"/>
      <c r="K41" s="96"/>
      <c r="L41" s="96"/>
      <c r="M41" s="96"/>
      <c r="N41" s="96"/>
      <c r="O41" s="96"/>
      <c r="P41" s="96"/>
      <c r="Q41" s="96"/>
      <c r="R41" s="96"/>
    </row>
    <row r="42" spans="1:18" hidden="1" outlineLevel="1" x14ac:dyDescent="0.2">
      <c r="A42" t="s">
        <v>183</v>
      </c>
      <c r="E42" s="94"/>
      <c r="F42" s="94"/>
      <c r="G42" s="94"/>
      <c r="H42" s="94"/>
      <c r="I42" s="96"/>
      <c r="J42" s="96"/>
      <c r="K42" s="96"/>
      <c r="L42" s="96"/>
      <c r="M42" s="96"/>
      <c r="N42" s="96"/>
      <c r="O42" s="96"/>
      <c r="P42" s="96"/>
      <c r="Q42" s="96"/>
      <c r="R42" s="96"/>
    </row>
    <row r="43" spans="1:18" hidden="1" outlineLevel="1" x14ac:dyDescent="0.2">
      <c r="A43" t="s">
        <v>184</v>
      </c>
      <c r="E43" s="94"/>
      <c r="F43" s="94"/>
      <c r="G43" s="94"/>
      <c r="H43" s="94"/>
      <c r="I43" s="96"/>
      <c r="J43" s="96"/>
      <c r="K43" s="96"/>
      <c r="L43" s="96"/>
      <c r="M43" s="96"/>
      <c r="N43" s="96"/>
      <c r="O43" s="96"/>
      <c r="P43" s="96"/>
      <c r="Q43" s="96"/>
      <c r="R43" s="96"/>
    </row>
    <row r="44" spans="1:18" hidden="1" outlineLevel="1" x14ac:dyDescent="0.2">
      <c r="A44" t="s">
        <v>185</v>
      </c>
      <c r="E44" s="94"/>
      <c r="F44" s="94"/>
      <c r="G44" s="94"/>
      <c r="H44" s="94"/>
      <c r="I44" s="96"/>
      <c r="J44" s="96"/>
      <c r="K44" s="96"/>
      <c r="L44" s="96"/>
      <c r="M44" s="96"/>
      <c r="N44" s="96"/>
      <c r="O44" s="96"/>
      <c r="P44" s="96"/>
      <c r="Q44" s="96"/>
      <c r="R44" s="96"/>
    </row>
    <row r="45" spans="1:18" hidden="1" outlineLevel="1" x14ac:dyDescent="0.2">
      <c r="A45" t="s">
        <v>186</v>
      </c>
      <c r="E45" s="94"/>
      <c r="F45" s="94"/>
      <c r="G45" s="94"/>
      <c r="H45" s="94"/>
      <c r="I45" s="96"/>
      <c r="J45" s="96"/>
      <c r="K45" s="96"/>
      <c r="L45" s="96"/>
      <c r="M45" s="96"/>
      <c r="N45" s="96"/>
      <c r="O45" s="96"/>
      <c r="P45" s="96"/>
      <c r="Q45" s="96"/>
      <c r="R45" s="96"/>
    </row>
    <row r="46" spans="1:18" hidden="1" outlineLevel="1" x14ac:dyDescent="0.2">
      <c r="A46" t="s">
        <v>187</v>
      </c>
      <c r="E46" s="94"/>
      <c r="F46" s="94"/>
      <c r="G46" s="94"/>
      <c r="H46" s="94"/>
      <c r="I46" s="96"/>
      <c r="J46" s="96"/>
      <c r="K46" s="96"/>
      <c r="L46" s="96"/>
      <c r="M46" s="96"/>
      <c r="N46" s="96"/>
      <c r="O46" s="96"/>
      <c r="P46" s="96"/>
      <c r="Q46" s="96"/>
      <c r="R46" s="96"/>
    </row>
    <row r="47" spans="1:18" hidden="1" outlineLevel="1" x14ac:dyDescent="0.2">
      <c r="A47" t="s">
        <v>188</v>
      </c>
      <c r="E47" s="94"/>
      <c r="F47" s="94"/>
      <c r="G47" s="94"/>
      <c r="H47" s="94"/>
      <c r="I47" s="96"/>
      <c r="J47" s="96"/>
      <c r="K47" s="96"/>
      <c r="L47" s="96"/>
      <c r="M47" s="96"/>
      <c r="N47" s="96"/>
      <c r="O47" s="96"/>
      <c r="P47" s="96"/>
      <c r="Q47" s="96"/>
      <c r="R47" s="96"/>
    </row>
    <row r="48" spans="1:18" hidden="1" outlineLevel="1" x14ac:dyDescent="0.2">
      <c r="A48" t="s">
        <v>189</v>
      </c>
      <c r="E48" s="94"/>
      <c r="F48" s="94"/>
      <c r="G48" s="94"/>
      <c r="H48" s="94"/>
      <c r="I48" s="96"/>
      <c r="J48" s="96"/>
      <c r="K48" s="96"/>
      <c r="L48" s="96"/>
      <c r="M48" s="96"/>
      <c r="N48" s="96"/>
      <c r="O48" s="96"/>
      <c r="P48" s="96"/>
      <c r="Q48" s="96"/>
      <c r="R48" s="96"/>
    </row>
    <row r="49" spans="1:18" hidden="1" outlineLevel="1" x14ac:dyDescent="0.2">
      <c r="A49" t="s">
        <v>190</v>
      </c>
      <c r="E49" s="94"/>
      <c r="F49" s="94"/>
      <c r="G49" s="94"/>
      <c r="H49" s="94"/>
      <c r="I49" s="96"/>
      <c r="J49" s="96"/>
      <c r="K49" s="96"/>
      <c r="L49" s="96"/>
      <c r="M49" s="96"/>
      <c r="N49" s="96"/>
      <c r="O49" s="96"/>
      <c r="P49" s="96"/>
      <c r="Q49" s="96"/>
      <c r="R49" s="96"/>
    </row>
    <row r="50" spans="1:18" hidden="1" outlineLevel="1" x14ac:dyDescent="0.2">
      <c r="A50" t="s">
        <v>191</v>
      </c>
      <c r="E50" s="94"/>
      <c r="F50" s="94"/>
      <c r="G50" s="94"/>
      <c r="H50" s="94"/>
      <c r="I50" s="96"/>
      <c r="J50" s="96"/>
      <c r="K50" s="96"/>
      <c r="L50" s="96"/>
      <c r="M50" s="96"/>
      <c r="N50" s="96"/>
      <c r="O50" s="96"/>
      <c r="P50" s="96"/>
      <c r="Q50" s="96"/>
      <c r="R50" s="96"/>
    </row>
    <row r="51" spans="1:18" hidden="1" outlineLevel="1" x14ac:dyDescent="0.2">
      <c r="A51" t="s">
        <v>192</v>
      </c>
      <c r="E51" s="94"/>
      <c r="F51" s="94"/>
      <c r="G51" s="94"/>
      <c r="H51" s="94"/>
      <c r="I51" s="96"/>
      <c r="J51" s="96"/>
      <c r="K51" s="96"/>
      <c r="L51" s="96"/>
      <c r="M51" s="96"/>
      <c r="N51" s="96"/>
      <c r="O51" s="96"/>
      <c r="P51" s="96"/>
      <c r="Q51" s="96"/>
      <c r="R51" s="96"/>
    </row>
    <row r="52" spans="1:18" hidden="1" outlineLevel="1" x14ac:dyDescent="0.2">
      <c r="A52" t="s">
        <v>193</v>
      </c>
      <c r="E52" s="100"/>
      <c r="F52" s="100"/>
      <c r="G52" s="100"/>
      <c r="H52" s="100"/>
      <c r="I52" s="96"/>
      <c r="J52" s="96"/>
      <c r="K52" s="96"/>
      <c r="L52" s="96"/>
      <c r="M52" s="96"/>
      <c r="N52" s="96"/>
      <c r="O52" s="96"/>
      <c r="P52" s="96"/>
      <c r="Q52" s="96"/>
      <c r="R52" s="96"/>
    </row>
    <row r="53" spans="1:18" collapsed="1" x14ac:dyDescent="0.2">
      <c r="A53" t="s">
        <v>205</v>
      </c>
      <c r="E53" s="94">
        <v>7.3000000000000001E-3</v>
      </c>
      <c r="F53" s="94">
        <v>3.3399999999999999E-2</v>
      </c>
      <c r="G53" s="94">
        <v>1.5100000000000001E-2</v>
      </c>
      <c r="H53" s="95" t="s">
        <v>214</v>
      </c>
      <c r="I53" s="96"/>
      <c r="J53" s="96"/>
      <c r="K53" s="96"/>
      <c r="L53" s="96"/>
      <c r="M53" s="96"/>
      <c r="N53" s="96"/>
      <c r="O53" s="96"/>
      <c r="P53" s="96"/>
      <c r="Q53" s="96"/>
      <c r="R53" s="96"/>
    </row>
    <row r="54" spans="1:18" x14ac:dyDescent="0.2">
      <c r="E54" s="98"/>
      <c r="F54" s="98"/>
      <c r="G54" s="98"/>
      <c r="H54" s="98"/>
      <c r="I54" s="96"/>
      <c r="J54" s="96"/>
      <c r="K54" s="96"/>
      <c r="L54" s="96"/>
      <c r="M54" s="96"/>
      <c r="N54" s="96"/>
      <c r="O54" s="96"/>
      <c r="P54" s="96"/>
      <c r="Q54" s="96"/>
      <c r="R54" s="96"/>
    </row>
  </sheetData>
  <pageMargins left="0.25" right="0.25" top="1" bottom="0.5" header="0.5" footer="0.5"/>
  <pageSetup scale="83" orientation="landscape" verticalDpi="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5"/>
  <sheetViews>
    <sheetView showGridLines="0" zoomScale="75" workbookViewId="0">
      <selection activeCell="A30" sqref="A30"/>
    </sheetView>
  </sheetViews>
  <sheetFormatPr defaultRowHeight="12.75" outlineLevelRow="1" x14ac:dyDescent="0.2"/>
  <cols>
    <col min="5" max="7" width="10.28515625" customWidth="1"/>
    <col min="8" max="8" width="12.85546875" customWidth="1"/>
    <col min="9" max="9" width="3.5703125" customWidth="1"/>
    <col min="10" max="10" width="1.42578125" customWidth="1"/>
    <col min="13" max="13" width="6.140625" customWidth="1"/>
    <col min="14" max="14" width="5" customWidth="1"/>
    <col min="15" max="18" width="12.28515625" customWidth="1"/>
  </cols>
  <sheetData>
    <row r="1" spans="1:18" ht="15.75" x14ac:dyDescent="0.2">
      <c r="A1" s="86" t="s">
        <v>240</v>
      </c>
      <c r="B1" s="67"/>
      <c r="C1" s="67"/>
      <c r="D1" s="67"/>
      <c r="E1" s="67"/>
      <c r="F1" s="67"/>
      <c r="G1" s="85"/>
      <c r="H1" s="85"/>
      <c r="I1" s="85"/>
      <c r="J1" s="85"/>
      <c r="K1" s="85"/>
      <c r="L1" s="85"/>
      <c r="M1" s="67"/>
      <c r="N1" s="67"/>
      <c r="O1" s="67"/>
      <c r="P1" s="67"/>
      <c r="Q1" s="67"/>
      <c r="R1" s="67"/>
    </row>
    <row r="4" spans="1:18" x14ac:dyDescent="0.2">
      <c r="E4" s="68">
        <v>1998</v>
      </c>
      <c r="F4" s="69">
        <v>1999</v>
      </c>
      <c r="G4" s="69">
        <v>2000</v>
      </c>
      <c r="H4" s="70">
        <v>2001</v>
      </c>
      <c r="O4" s="68">
        <v>1998</v>
      </c>
      <c r="P4" s="69">
        <v>1999</v>
      </c>
      <c r="Q4" s="69">
        <v>2000</v>
      </c>
      <c r="R4" s="70">
        <v>2001</v>
      </c>
    </row>
    <row r="6" spans="1:18" x14ac:dyDescent="0.2">
      <c r="A6" s="80" t="s">
        <v>207</v>
      </c>
    </row>
    <row r="7" spans="1:18" x14ac:dyDescent="0.2">
      <c r="A7" t="s">
        <v>153</v>
      </c>
      <c r="E7" s="94">
        <f>+'T. Profits'!E7/'T. Profits'!$O$33</f>
        <v>0.10883604397503185</v>
      </c>
      <c r="F7" s="94">
        <f>+'T. Profits'!F7/'T. Profits'!$P$33</f>
        <v>7.0611057225994187E-2</v>
      </c>
      <c r="G7" s="94">
        <f>+'T. Profits'!G7/'T. Profits'!$Q$33</f>
        <v>0.16316284575789283</v>
      </c>
      <c r="H7" s="95" t="s">
        <v>214</v>
      </c>
      <c r="I7" s="96"/>
      <c r="J7" s="96"/>
      <c r="K7" s="97" t="s">
        <v>208</v>
      </c>
      <c r="L7" s="96"/>
      <c r="M7" s="96"/>
      <c r="N7" s="96"/>
      <c r="O7" s="98"/>
      <c r="P7" s="98"/>
      <c r="Q7" s="98"/>
      <c r="R7" s="98"/>
    </row>
    <row r="8" spans="1:18" x14ac:dyDescent="0.2">
      <c r="A8" t="s">
        <v>154</v>
      </c>
      <c r="E8" s="94">
        <f>+'T. Profits'!E8/'T. Profits'!$O$33</f>
        <v>8.103846735350656E-2</v>
      </c>
      <c r="F8" s="94">
        <f>+'T. Profits'!F8/'T. Profits'!$P$33</f>
        <v>5.2408664726802459E-2</v>
      </c>
      <c r="G8" s="94">
        <f>+'T. Profits'!G8/'T. Profits'!$Q$33</f>
        <v>0.10886683366627559</v>
      </c>
      <c r="H8" s="95" t="s">
        <v>214</v>
      </c>
      <c r="I8" s="96"/>
      <c r="J8" s="96"/>
      <c r="K8" s="96" t="s">
        <v>195</v>
      </c>
      <c r="L8" s="96"/>
      <c r="M8" s="96"/>
      <c r="N8" s="96"/>
      <c r="O8" s="94">
        <f>+'T. Profits'!O8/'T. Profits'!$O$33</f>
        <v>4.0627227369921595E-2</v>
      </c>
      <c r="P8" s="94">
        <f>+'T. Profits'!P8/'T. Profits'!$P$33</f>
        <v>9.4212738441642421E-2</v>
      </c>
      <c r="Q8" s="94">
        <f>+'T. Profits'!Q8/'T. Profits'!$Q$33</f>
        <v>8.8795171808774873E-2</v>
      </c>
      <c r="R8" s="95" t="s">
        <v>214</v>
      </c>
    </row>
    <row r="9" spans="1:18" x14ac:dyDescent="0.2">
      <c r="A9" t="s">
        <v>155</v>
      </c>
      <c r="E9" s="94">
        <f>+'T. Profits'!E9/'T. Profits'!$O$33</f>
        <v>4.0476036199485949E-2</v>
      </c>
      <c r="F9" s="94">
        <f>+'T. Profits'!F9/'T. Profits'!$P$33</f>
        <v>8.6938247655997419E-2</v>
      </c>
      <c r="G9" s="94">
        <f>+'T. Profits'!G9/'T. Profits'!$Q$33</f>
        <v>4.2838570567904369E-2</v>
      </c>
      <c r="H9" s="95" t="s">
        <v>214</v>
      </c>
      <c r="I9" s="96"/>
      <c r="J9" s="96"/>
      <c r="K9" s="96" t="s">
        <v>196</v>
      </c>
      <c r="L9" s="96"/>
      <c r="M9" s="96"/>
      <c r="N9" s="96"/>
      <c r="O9" s="94">
        <f>+'T. Profits'!O9/'T. Profits'!$O$33</f>
        <v>-8.6394954534655175E-5</v>
      </c>
      <c r="P9" s="94">
        <f>+'T. Profits'!P9/'T. Profits'!$P$33</f>
        <v>-5.3346265761396703E-4</v>
      </c>
      <c r="Q9" s="94">
        <f>+'T. Profits'!Q9/'T. Profits'!$Q$33</f>
        <v>-5.6018856158374824E-4</v>
      </c>
      <c r="R9" s="95" t="s">
        <v>214</v>
      </c>
    </row>
    <row r="10" spans="1:18" x14ac:dyDescent="0.2">
      <c r="A10" t="s">
        <v>156</v>
      </c>
      <c r="E10" s="94">
        <f>+'T. Profits'!E10/'T. Profits'!$O$33</f>
        <v>1.5939869111643881E-2</v>
      </c>
      <c r="F10" s="94">
        <f>+'T. Profits'!F10/'T. Profits'!$P$33</f>
        <v>5.690268347882315E-2</v>
      </c>
      <c r="G10" s="94">
        <f>+'T. Profits'!G10/'T. Profits'!$Q$33</f>
        <v>8.258024965384575E-2</v>
      </c>
      <c r="H10" s="95" t="s">
        <v>214</v>
      </c>
      <c r="I10" s="96"/>
      <c r="J10" s="96"/>
      <c r="K10" s="96" t="s">
        <v>197</v>
      </c>
      <c r="L10" s="96"/>
      <c r="M10" s="96"/>
      <c r="N10" s="96"/>
      <c r="O10" s="94">
        <f>+'T. Profits'!O10/'T. Profits'!$O$33</f>
        <v>8.2075206807922412E-4</v>
      </c>
      <c r="P10" s="94">
        <f>+'T. Profits'!P10/'T. Profits'!$P$33</f>
        <v>9.0526996443582287E-4</v>
      </c>
      <c r="Q10" s="94">
        <f>+'T. Profits'!Q10/'T. Profits'!$Q$33</f>
        <v>7.9060574351819558E-3</v>
      </c>
      <c r="R10" s="95" t="s">
        <v>214</v>
      </c>
    </row>
    <row r="11" spans="1:18" x14ac:dyDescent="0.2">
      <c r="A11" t="s">
        <v>157</v>
      </c>
      <c r="E11" s="94">
        <f>+'T. Profits'!E11/'T. Profits'!$O$33</f>
        <v>2.2873064213049958E-2</v>
      </c>
      <c r="F11" s="94">
        <f>+'T. Profits'!F11/'T. Profits'!$P$33</f>
        <v>4.2434529582929197E-2</v>
      </c>
      <c r="G11" s="94">
        <f>+'T. Profits'!G11/'T. Profits'!$Q$33</f>
        <v>2.8231389584720594E-2</v>
      </c>
      <c r="H11" s="95" t="s">
        <v>214</v>
      </c>
      <c r="I11" s="96"/>
      <c r="J11" s="96"/>
      <c r="K11" s="96" t="s">
        <v>198</v>
      </c>
      <c r="L11" s="96"/>
      <c r="M11" s="96"/>
      <c r="N11" s="96"/>
      <c r="O11" s="94">
        <f>+'T. Profits'!O11/'T. Profits'!O33</f>
        <v>0</v>
      </c>
      <c r="P11" s="94">
        <f>+'T. Profits'!P11/'T. Profits'!P33</f>
        <v>0</v>
      </c>
      <c r="Q11" s="94">
        <f>+'T. Profits'!Q11/'T. Profits'!Q33</f>
        <v>3.2977137964930081E-3</v>
      </c>
      <c r="R11" s="95" t="s">
        <v>214</v>
      </c>
    </row>
    <row r="12" spans="1:18" x14ac:dyDescent="0.2">
      <c r="A12" t="s">
        <v>158</v>
      </c>
      <c r="E12" s="94">
        <f>+'T. Profits'!E12/'T. Profits'!$O$33</f>
        <v>1.4816734702693363E-2</v>
      </c>
      <c r="F12" s="94">
        <f>+'T. Profits'!F12/'T. Profits'!$P$33</f>
        <v>2.5929518267054641E-2</v>
      </c>
      <c r="G12" s="94">
        <f>+'T. Profits'!G12/'T. Profits'!$Q$33</f>
        <v>7.2993626533912545E-2</v>
      </c>
      <c r="H12" s="95" t="s">
        <v>214</v>
      </c>
      <c r="I12" s="96"/>
      <c r="J12" s="96"/>
      <c r="K12" s="96" t="s">
        <v>199</v>
      </c>
      <c r="L12" s="96"/>
      <c r="M12" s="96"/>
      <c r="N12" s="96"/>
      <c r="O12" s="94">
        <f>+'T. Profits'!O12/'T. Profits'!$O$33</f>
        <v>1.9136482429426123E-2</v>
      </c>
      <c r="P12" s="94">
        <f>+'T. Profits'!P12/'T. Profits'!$P$33</f>
        <v>-1.2609117361784676E-3</v>
      </c>
      <c r="Q12" s="94">
        <f>+'T. Profits'!Q12/'T. Profits'!$Q$33</f>
        <v>0</v>
      </c>
      <c r="R12" s="95" t="s">
        <v>214</v>
      </c>
    </row>
    <row r="13" spans="1:18" x14ac:dyDescent="0.2">
      <c r="A13" t="s">
        <v>159</v>
      </c>
      <c r="E13" s="94">
        <f>+'T. Profits'!E13/'T. Profits'!$O$33</f>
        <v>1.4039180111881466E-3</v>
      </c>
      <c r="F13" s="94">
        <f>+'T. Profits'!F13/'T. Profits'!$P$33</f>
        <v>1.4047849983834465E-2</v>
      </c>
      <c r="G13" s="94">
        <f>+'T. Profits'!G13/'T. Profits'!$Q$33</f>
        <v>1.7820338015664142E-2</v>
      </c>
      <c r="H13" s="95" t="s">
        <v>214</v>
      </c>
      <c r="I13" s="96"/>
      <c r="J13" s="96"/>
      <c r="K13" s="96" t="s">
        <v>200</v>
      </c>
      <c r="L13" s="96"/>
      <c r="M13" s="96"/>
      <c r="N13" s="96"/>
      <c r="O13" s="94">
        <f>+'T. Profits'!O13/'T. Profits'!$O$33</f>
        <v>1.9438864770297414E-4</v>
      </c>
      <c r="P13" s="94">
        <f>+'T. Profits'!P13/'T. Profits'!$P$33</f>
        <v>3.5564177174264469E-4</v>
      </c>
      <c r="Q13" s="94">
        <f>+'T. Profits'!Q13/'T. Profits'!$Q$33</f>
        <v>0</v>
      </c>
      <c r="R13" s="95" t="s">
        <v>214</v>
      </c>
    </row>
    <row r="14" spans="1:18" ht="15" x14ac:dyDescent="0.35">
      <c r="A14" t="s">
        <v>160</v>
      </c>
      <c r="E14" s="94">
        <f>+'T. Profits'!E14/'T. Profits'!$O$33</f>
        <v>3.9957666472278022E-3</v>
      </c>
      <c r="F14" s="94">
        <f>+'T. Profits'!F14/'T. Profits'!$P$33</f>
        <v>9.2951826705463952E-3</v>
      </c>
      <c r="G14" s="94">
        <f>+'T. Profits'!G14/'T. Profits'!$Q$33</f>
        <v>9.121560917863673E-3</v>
      </c>
      <c r="H14" s="95" t="s">
        <v>214</v>
      </c>
      <c r="I14" s="96"/>
      <c r="J14" s="96"/>
      <c r="K14" s="96" t="s">
        <v>216</v>
      </c>
      <c r="L14" s="96"/>
      <c r="M14" s="96"/>
      <c r="N14" s="96"/>
      <c r="O14" s="100">
        <f>+'T. Profits'!O14/'T. Profits'!$O$33</f>
        <v>1.1231344089505174E-3</v>
      </c>
      <c r="P14" s="100">
        <f>+'T. Profits'!P14/'T. Profits'!$P$33</f>
        <v>-5.6741028128031038E-3</v>
      </c>
      <c r="Q14" s="100">
        <f>+'T. Profits'!Q14/'T. Profits'!$Q$33</f>
        <v>-5.1368234137679552E-3</v>
      </c>
      <c r="R14" s="103" t="s">
        <v>214</v>
      </c>
    </row>
    <row r="15" spans="1:18" x14ac:dyDescent="0.2">
      <c r="A15" t="s">
        <v>161</v>
      </c>
      <c r="E15" s="94">
        <f>+'T. Profits'!E15/'T. Profits'!$O$33</f>
        <v>1.2959243180198278E-4</v>
      </c>
      <c r="F15" s="94">
        <f>+'T. Profits'!F15/'T. Profits'!$P$33</f>
        <v>1.0006466214031685E-2</v>
      </c>
      <c r="G15" s="94">
        <f>+'T. Profits'!G15/'T. Profits'!$Q$33</f>
        <v>9.3118136368921158E-3</v>
      </c>
      <c r="H15" s="95" t="s">
        <v>214</v>
      </c>
      <c r="I15" s="96"/>
      <c r="J15" s="96"/>
      <c r="K15" s="96" t="s">
        <v>205</v>
      </c>
      <c r="L15" s="96"/>
      <c r="M15" s="96"/>
      <c r="N15" s="96"/>
      <c r="O15" s="94">
        <f>SUM(O8:O14)</f>
        <v>6.1815589969545774E-2</v>
      </c>
      <c r="P15" s="94">
        <f>SUM(P8:P14)</f>
        <v>8.8005172971225357E-2</v>
      </c>
      <c r="Q15" s="94">
        <f>SUM(Q8:Q14)</f>
        <v>9.4301931065098127E-2</v>
      </c>
      <c r="R15" s="94">
        <f>+'T. Profits'!R15/'T. Profits'!R33</f>
        <v>7.8348756431127084E-2</v>
      </c>
    </row>
    <row r="16" spans="1:18" x14ac:dyDescent="0.2">
      <c r="A16" t="s">
        <v>162</v>
      </c>
      <c r="E16" s="94">
        <f>+'T. Profits'!E16/'T. Profits'!$O$33</f>
        <v>0</v>
      </c>
      <c r="F16" s="94">
        <f>+'T. Profits'!F16/'T. Profits'!$P$33</f>
        <v>6.4662140316844487E-5</v>
      </c>
      <c r="G16" s="94">
        <f>+'T. Profits'!G16/'T. Profits'!$Q$33</f>
        <v>3.1708786504740464E-3</v>
      </c>
      <c r="H16" s="95" t="s">
        <v>214</v>
      </c>
      <c r="I16" s="96"/>
      <c r="J16" s="96"/>
      <c r="K16" s="96"/>
      <c r="L16" s="96"/>
      <c r="M16" s="96"/>
      <c r="N16" s="96"/>
      <c r="O16" s="94"/>
      <c r="P16" s="94"/>
      <c r="Q16" s="94"/>
      <c r="R16" s="94"/>
    </row>
    <row r="17" spans="1:18" x14ac:dyDescent="0.2">
      <c r="A17" t="s">
        <v>163</v>
      </c>
      <c r="E17" s="94">
        <f>+'T. Profits'!E17/'T. Profits'!$O$33</f>
        <v>1.3369619214237889E-2</v>
      </c>
      <c r="F17" s="94">
        <f>+'T. Profits'!F17/'T. Profits'!$P$33</f>
        <v>4.3000323310701588E-3</v>
      </c>
      <c r="G17" s="94">
        <f>+'T. Profits'!G17/'T. Profits'!$Q$33</f>
        <v>1.6805656847512446E-3</v>
      </c>
      <c r="H17" s="95" t="s">
        <v>214</v>
      </c>
      <c r="I17" s="96"/>
      <c r="J17" s="96"/>
      <c r="K17" s="97" t="s">
        <v>209</v>
      </c>
      <c r="L17" s="96"/>
      <c r="M17" s="96"/>
      <c r="N17" s="96"/>
      <c r="O17" s="94"/>
      <c r="P17" s="94"/>
      <c r="Q17" s="94"/>
      <c r="R17" s="94"/>
    </row>
    <row r="18" spans="1:18" x14ac:dyDescent="0.2">
      <c r="A18" t="s">
        <v>217</v>
      </c>
      <c r="E18" s="94">
        <f>+'T. Profits'!E18/'T. Profits'!$O$33</f>
        <v>2.8791118598673837E-2</v>
      </c>
      <c r="F18" s="94">
        <f>+'T. Profits'!F18/'T. Profits'!$P$33</f>
        <v>3.7504041383769802E-3</v>
      </c>
      <c r="G18" s="94">
        <f>+'T. Profits'!G18/'T. Profits'!$Q$33</f>
        <v>0</v>
      </c>
      <c r="H18" s="95" t="s">
        <v>214</v>
      </c>
      <c r="I18" s="96"/>
      <c r="J18" s="96"/>
      <c r="K18" s="96" t="s">
        <v>203</v>
      </c>
      <c r="L18" s="96"/>
      <c r="M18" s="96"/>
      <c r="N18" s="96"/>
      <c r="O18" s="95">
        <f>+'T. Profits'!O18/'T. Profits'!$O$33</f>
        <v>8.4429469318991771E-2</v>
      </c>
      <c r="P18" s="95">
        <f>+'T. Profits'!P18/'T. Profits'!$P$33</f>
        <v>8.8716456514710634E-2</v>
      </c>
      <c r="Q18" s="95">
        <f>+'T. Profits'!Q18/'T. Profits'!$Q$33</f>
        <v>6.5520922514295379E-2</v>
      </c>
      <c r="R18" s="95">
        <f>+'T. Profits'!R18/'T. Profits'!$R$33</f>
        <v>8.151752835789712E-2</v>
      </c>
    </row>
    <row r="19" spans="1:18" x14ac:dyDescent="0.2">
      <c r="A19" t="s">
        <v>164</v>
      </c>
      <c r="E19" s="94">
        <f>+'T. Profits'!E19/'T. Profits'!$O$33</f>
        <v>4.38454394263375E-3</v>
      </c>
      <c r="F19" s="94">
        <f>+'T. Profits'!F19/'T. Profits'!$P$33</f>
        <v>-5.9812479793081149E-4</v>
      </c>
      <c r="G19" s="94">
        <f>+'T. Profits'!G19/'T. Profits'!$Q$33</f>
        <v>3.2342962234835275E-3</v>
      </c>
      <c r="H19" s="95" t="s">
        <v>214</v>
      </c>
      <c r="I19" s="96"/>
      <c r="J19" s="96"/>
      <c r="K19" s="96" t="s">
        <v>204</v>
      </c>
      <c r="L19" s="96"/>
      <c r="M19" s="96"/>
      <c r="N19" s="96"/>
      <c r="O19" s="107">
        <f>+'T. Profits'!O19/'T. Profits'!$O$33</f>
        <v>4.3197477267327589E-2</v>
      </c>
      <c r="P19" s="107">
        <f>+'T. Profits'!P19/'T. Profits'!$P$33</f>
        <v>1.1364371160685418E-2</v>
      </c>
      <c r="Q19" s="107">
        <f>+'T. Profits'!Q19/'T. Profits'!$Q$33</f>
        <v>1.3835600511568423E-2</v>
      </c>
      <c r="R19" s="107" t="s">
        <v>214</v>
      </c>
    </row>
    <row r="20" spans="1:18" x14ac:dyDescent="0.2">
      <c r="A20" t="s">
        <v>165</v>
      </c>
      <c r="E20" s="94">
        <f>+'T. Profits'!E20/'T. Profits'!$O$33</f>
        <v>4.5357351130693969E-4</v>
      </c>
      <c r="F20" s="94">
        <f>+'T. Profits'!F20/'T. Profits'!$P$33</f>
        <v>1.0345942450695118E-3</v>
      </c>
      <c r="G20" s="94">
        <f>+'T. Profits'!G20/'T. Profits'!$Q$33</f>
        <v>2.9806259314456036E-3</v>
      </c>
      <c r="H20" s="95" t="s">
        <v>214</v>
      </c>
      <c r="I20" s="96"/>
      <c r="J20" s="96"/>
      <c r="K20" s="96" t="s">
        <v>205</v>
      </c>
      <c r="L20" s="96"/>
      <c r="M20" s="96"/>
      <c r="N20" s="96"/>
      <c r="O20" s="94">
        <f>SUM(O18:O19)</f>
        <v>0.12762694658631935</v>
      </c>
      <c r="P20" s="94">
        <f>SUM(P18:P19)</f>
        <v>0.10008082767539606</v>
      </c>
      <c r="Q20" s="94">
        <f>SUM(Q18:Q19)</f>
        <v>7.9356523025863795E-2</v>
      </c>
      <c r="R20" s="94">
        <f>SUM(R18:R19)</f>
        <v>8.151752835789712E-2</v>
      </c>
    </row>
    <row r="21" spans="1:18" x14ac:dyDescent="0.2">
      <c r="A21" t="s">
        <v>166</v>
      </c>
      <c r="E21" s="94">
        <f>+'T. Profits'!E21/'T. Profits'!$O$33</f>
        <v>1.6415041361584482E-3</v>
      </c>
      <c r="F21" s="94">
        <f>+'T. Profits'!F21/'T. Profits'!$P$33</f>
        <v>6.7895247332686709E-4</v>
      </c>
      <c r="G21" s="94">
        <f>+'T. Profits'!G21/'T. Profits'!$Q$33</f>
        <v>4.0164462906004585E-4</v>
      </c>
      <c r="H21" s="95" t="s">
        <v>214</v>
      </c>
      <c r="I21" s="96"/>
      <c r="J21" s="96"/>
      <c r="K21" s="96"/>
      <c r="L21" s="96"/>
      <c r="M21" s="96"/>
      <c r="N21" s="96"/>
      <c r="O21" s="94"/>
      <c r="P21" s="94"/>
      <c r="Q21" s="94"/>
      <c r="R21" s="94"/>
    </row>
    <row r="22" spans="1:18" x14ac:dyDescent="0.2">
      <c r="A22" t="s">
        <v>167</v>
      </c>
      <c r="E22" s="94">
        <f>+'T. Profits'!E22/'T. Profits'!$O$33</f>
        <v>0</v>
      </c>
      <c r="F22" s="94">
        <f>+'T. Profits'!F22/'T. Profits'!$P$33</f>
        <v>2.1661817006142902E-3</v>
      </c>
      <c r="G22" s="94">
        <f>+'T. Profits'!G22/'T. Profits'!$Q$33</f>
        <v>1.0485038737567513E-2</v>
      </c>
      <c r="H22" s="95" t="s">
        <v>214</v>
      </c>
      <c r="I22" s="96"/>
      <c r="J22" s="96"/>
      <c r="K22" s="97" t="s">
        <v>210</v>
      </c>
      <c r="L22" s="96"/>
      <c r="M22" s="96"/>
      <c r="N22" s="96"/>
      <c r="O22" s="94"/>
      <c r="P22" s="94"/>
      <c r="Q22" s="94"/>
      <c r="R22" s="94"/>
    </row>
    <row r="23" spans="1:18" x14ac:dyDescent="0.2">
      <c r="A23" t="s">
        <v>168</v>
      </c>
      <c r="E23" s="94">
        <f>+'T. Profits'!E23/'T. Profits'!$O$33</f>
        <v>0</v>
      </c>
      <c r="F23" s="94">
        <f>+'T. Profits'!F23/'T. Profits'!$P$33</f>
        <v>3.2331070158422243E-5</v>
      </c>
      <c r="G23" s="94">
        <f>+'T. Profits'!G23/'T. Profits'!$Q$33</f>
        <v>3.1708786504740466E-4</v>
      </c>
      <c r="H23" s="95" t="s">
        <v>214</v>
      </c>
      <c r="I23" s="96"/>
      <c r="J23" s="96"/>
      <c r="K23" s="96" t="s">
        <v>195</v>
      </c>
      <c r="L23" s="96"/>
      <c r="M23" s="96"/>
      <c r="N23" s="96"/>
      <c r="O23" s="95">
        <f>+'T. Profits'!O23/'T. Profits'!$O$33</f>
        <v>5.799261323138729E-2</v>
      </c>
      <c r="P23" s="95">
        <f>+'T. Profits'!P23/'T. Profits'!$P$33</f>
        <v>1.9075331393469124E-3</v>
      </c>
      <c r="Q23" s="95">
        <f>+'T. Profits'!Q23/'T. Profits'!$Q$33</f>
        <v>6.7856803120144591E-3</v>
      </c>
      <c r="R23" s="95" t="s">
        <v>211</v>
      </c>
    </row>
    <row r="24" spans="1:18" x14ac:dyDescent="0.2">
      <c r="A24" t="s">
        <v>169</v>
      </c>
      <c r="E24" s="94">
        <f>+'T. Profits'!E24/'T. Profits'!$O$33</f>
        <v>0</v>
      </c>
      <c r="F24" s="94">
        <f>+'T. Profits'!F24/'T. Profits'!$P$33</f>
        <v>2.3278370514064014E-3</v>
      </c>
      <c r="G24" s="94">
        <f>+'T. Profits'!G24/'T. Profits'!$Q$33</f>
        <v>2.5367029203792369E-4</v>
      </c>
      <c r="H24" s="95" t="s">
        <v>214</v>
      </c>
      <c r="I24" s="96"/>
      <c r="J24" s="96"/>
      <c r="K24" s="96" t="s">
        <v>199</v>
      </c>
      <c r="L24" s="96"/>
      <c r="M24" s="96"/>
      <c r="N24" s="96"/>
      <c r="O24" s="95">
        <f>+'T. Profits'!O24/'T. Profits'!$O$33</f>
        <v>9.8058273396833626E-3</v>
      </c>
      <c r="P24" s="95">
        <f>+'T. Profits'!P24/'T. Profits'!$P$33</f>
        <v>-2.0174587778855481E-2</v>
      </c>
      <c r="Q24" s="95">
        <f>+'T. Profits'!Q24/'T. Profits'!$Q$33</f>
        <v>0</v>
      </c>
      <c r="R24" s="95" t="s">
        <v>211</v>
      </c>
    </row>
    <row r="25" spans="1:18" x14ac:dyDescent="0.2">
      <c r="A25" t="s">
        <v>170</v>
      </c>
      <c r="E25" s="94">
        <f>+'T. Profits'!E25/'T. Profits'!$O$33</f>
        <v>8.4883042830298707E-3</v>
      </c>
      <c r="F25" s="94">
        <f>+'T. Profits'!F25/'T. Profits'!$P$33</f>
        <v>4.8819915939217586E-3</v>
      </c>
      <c r="G25" s="94">
        <f>+'T. Profits'!G25/'T. Profits'!$Q$33</f>
        <v>-3.1708786504740461E-5</v>
      </c>
      <c r="H25" s="95" t="s">
        <v>214</v>
      </c>
      <c r="I25" s="96"/>
      <c r="J25" s="96"/>
      <c r="K25" s="96" t="s">
        <v>201</v>
      </c>
      <c r="L25" s="96"/>
      <c r="M25" s="96"/>
      <c r="N25" s="96"/>
      <c r="O25" s="95">
        <f>+'T. Profits'!O25/'T. Profits'!$O$33</f>
        <v>-1.0043413464653664E-2</v>
      </c>
      <c r="P25" s="95">
        <f>+'T. Profits'!P25/'T. Profits'!$P$33</f>
        <v>2.2825735531846105E-2</v>
      </c>
      <c r="Q25" s="95">
        <f>+'T. Profits'!Q25/'T. Profits'!$Q$33</f>
        <v>0</v>
      </c>
      <c r="R25" s="95" t="s">
        <v>211</v>
      </c>
    </row>
    <row r="26" spans="1:18" x14ac:dyDescent="0.2">
      <c r="A26" t="s">
        <v>171</v>
      </c>
      <c r="E26" s="94">
        <f>+'T. Profits'!E26/'T. Profits'!$O$33</f>
        <v>0</v>
      </c>
      <c r="F26" s="94">
        <f>+'T. Profits'!F26/'T. Profits'!$P$33</f>
        <v>0</v>
      </c>
      <c r="G26" s="94">
        <f>+'T. Profits'!G26/'T. Profits'!$Q$33</f>
        <v>6.3417573009480921E-5</v>
      </c>
      <c r="H26" s="95" t="s">
        <v>214</v>
      </c>
      <c r="I26" s="96"/>
      <c r="J26" s="96"/>
      <c r="K26" s="96" t="s">
        <v>202</v>
      </c>
      <c r="L26" s="96"/>
      <c r="M26" s="96"/>
      <c r="N26" s="96"/>
      <c r="O26" s="95">
        <f>+'T. Profits'!O26/'T. Profits'!$O$33</f>
        <v>5.0973023175446552E-3</v>
      </c>
      <c r="P26" s="95">
        <f>+'T. Profits'!P26/'T. Profits'!$P$33</f>
        <v>-2.247009376010346E-3</v>
      </c>
      <c r="Q26" s="95">
        <f>+'T. Profits'!Q26/'T. Profits'!$Q$33</f>
        <v>0</v>
      </c>
      <c r="R26" s="95" t="s">
        <v>211</v>
      </c>
    </row>
    <row r="27" spans="1:18" x14ac:dyDescent="0.2">
      <c r="A27" t="s">
        <v>172</v>
      </c>
      <c r="E27" s="94">
        <f>+'T. Profits'!E27/'T. Profits'!$O$33</f>
        <v>9.2442601352081041E-3</v>
      </c>
      <c r="F27" s="94">
        <f>+'T. Profits'!F27/'T. Profits'!$P$33</f>
        <v>2.1500161655350794E-3</v>
      </c>
      <c r="G27" s="94">
        <f>+'T. Profits'!G27/'T. Profits'!$Q$33</f>
        <v>0</v>
      </c>
      <c r="H27" s="95" t="s">
        <v>214</v>
      </c>
      <c r="I27" s="96"/>
      <c r="J27" s="96"/>
      <c r="K27" s="96" t="s">
        <v>218</v>
      </c>
      <c r="L27" s="96"/>
      <c r="M27" s="96"/>
      <c r="N27" s="96"/>
      <c r="O27" s="95">
        <f>+'T. Profits'!O27/'T. Profits'!$O$33</f>
        <v>1.7494978293267672E-2</v>
      </c>
      <c r="P27" s="95">
        <f>+'T. Profits'!P27/'T. Profits'!$P$33</f>
        <v>4.2030391205948915E-4</v>
      </c>
      <c r="Q27" s="95">
        <f>+'T. Profits'!Q27/'T. Profits'!$Q$33</f>
        <v>0</v>
      </c>
      <c r="R27" s="95" t="s">
        <v>211</v>
      </c>
    </row>
    <row r="28" spans="1:18" x14ac:dyDescent="0.2">
      <c r="A28" t="s">
        <v>173</v>
      </c>
      <c r="E28" s="94">
        <f>+'T. Profits'!E28/'T. Profits'!$O$33</f>
        <v>3.6717855677228449E-4</v>
      </c>
      <c r="F28" s="94">
        <f>+'T. Profits'!F28/'T. Profits'!$P$33</f>
        <v>0</v>
      </c>
      <c r="G28" s="94">
        <f>+'T. Profits'!G28/'T. Profits'!$Q$33</f>
        <v>7.3987168511061084E-5</v>
      </c>
      <c r="H28" s="95" t="s">
        <v>214</v>
      </c>
      <c r="I28" s="96"/>
      <c r="J28" s="96"/>
      <c r="K28" s="96" t="s">
        <v>219</v>
      </c>
      <c r="L28" s="96"/>
      <c r="M28" s="96"/>
      <c r="N28" s="96"/>
      <c r="O28" s="95">
        <f>+'T. Profits'!O28/'T. Profits'!$O$33</f>
        <v>2.5270524201386639E-2</v>
      </c>
      <c r="P28" s="95">
        <f>+'T. Profits'!P28/'T. Profits'!$P$33</f>
        <v>6.5793727772389269E-3</v>
      </c>
      <c r="Q28" s="95">
        <f>+'T. Profits'!Q28/'T. Profits'!$Q$33</f>
        <v>6.4474532559638943E-4</v>
      </c>
      <c r="R28" s="107" t="s">
        <v>211</v>
      </c>
    </row>
    <row r="29" spans="1:18" x14ac:dyDescent="0.2">
      <c r="A29" t="s">
        <v>174</v>
      </c>
      <c r="E29" s="94">
        <f>+'T. Profits'!E29/'T. Profits'!$O$33</f>
        <v>0</v>
      </c>
      <c r="F29" s="94">
        <f>+'T. Profits'!F29/'T. Profits'!$P$33</f>
        <v>0</v>
      </c>
      <c r="G29" s="94">
        <f>+'T. Profits'!G29/'T. Profits'!$Q$33</f>
        <v>0</v>
      </c>
      <c r="H29" s="95" t="s">
        <v>214</v>
      </c>
      <c r="I29" s="96"/>
      <c r="J29" s="96"/>
      <c r="K29" s="96" t="s">
        <v>205</v>
      </c>
      <c r="L29" s="96"/>
      <c r="M29" s="96"/>
      <c r="N29" s="96"/>
      <c r="O29" s="94">
        <f>SUM(O23:O28)</f>
        <v>0.10561783191861596</v>
      </c>
      <c r="P29" s="94">
        <f>SUM(P23:P28)</f>
        <v>9.3113482056256056E-3</v>
      </c>
      <c r="Q29" s="94">
        <f>SUM(Q23:Q28)</f>
        <v>7.4304256376108487E-3</v>
      </c>
      <c r="R29" s="101">
        <v>0</v>
      </c>
    </row>
    <row r="30" spans="1:18" x14ac:dyDescent="0.2">
      <c r="A30" t="s">
        <v>216</v>
      </c>
      <c r="E30" s="100">
        <f>+'T. Profits'!E30/'T. Profits'!$O$33</f>
        <v>0.1480593533337653</v>
      </c>
      <c r="F30" s="100">
        <f>+'T. Profits'!F30/'T. Profits'!$P$33</f>
        <v>7.4765599741351441E-2</v>
      </c>
      <c r="G30" s="100">
        <f>+'T. Profits'!G30/'T. Profits'!$Q$33</f>
        <v>-1.0463899546564353E-2</v>
      </c>
      <c r="H30" s="107" t="s">
        <v>214</v>
      </c>
      <c r="I30" s="96"/>
      <c r="J30" s="96"/>
      <c r="K30" s="96"/>
      <c r="L30" s="96"/>
      <c r="M30" s="96"/>
      <c r="N30" s="96"/>
      <c r="O30" s="94"/>
      <c r="P30" s="94"/>
      <c r="Q30" s="94"/>
      <c r="R30" s="94"/>
    </row>
    <row r="31" spans="1:18" x14ac:dyDescent="0.2">
      <c r="A31" t="s">
        <v>205</v>
      </c>
      <c r="E31" s="94">
        <f>SUM(E7:E30)</f>
        <v>0.50430894835741591</v>
      </c>
      <c r="F31" s="94">
        <f>SUM(F7:F30)</f>
        <v>0.46412867765923055</v>
      </c>
      <c r="G31" s="94">
        <f>SUM(G7:G30)</f>
        <v>0.54709283275729037</v>
      </c>
      <c r="H31" s="95">
        <f>+'T. Profits'!H31/'T. Profits'!$R$33</f>
        <v>0.58113013728443208</v>
      </c>
      <c r="I31" s="96"/>
      <c r="J31" s="96"/>
      <c r="K31" s="96" t="s">
        <v>220</v>
      </c>
      <c r="L31" s="96"/>
      <c r="M31" s="96"/>
      <c r="N31" s="96"/>
      <c r="O31" s="94">
        <f>+'T. Profits'!O31/'T. Profits'!O33</f>
        <v>0.13242186656299273</v>
      </c>
      <c r="P31" s="94">
        <f>+'T. Profits'!P31/'T. Profits'!P33</f>
        <v>0.12200129324280634</v>
      </c>
      <c r="Q31" s="94">
        <f>+'T. Profits'!Q31/'T. Profits'!Q33</f>
        <v>0.14905243576328334</v>
      </c>
      <c r="R31" s="94">
        <f>+'T. Profits'!R31/'T. Profits'!R33</f>
        <v>0.13712773458923488</v>
      </c>
    </row>
    <row r="32" spans="1:18" x14ac:dyDescent="0.2">
      <c r="E32" s="94"/>
      <c r="F32" s="94"/>
      <c r="G32" s="94"/>
      <c r="H32" s="94"/>
      <c r="I32" s="96"/>
      <c r="J32" s="96"/>
      <c r="K32" s="96"/>
      <c r="L32" s="96"/>
      <c r="M32" s="96"/>
      <c r="N32" s="96"/>
      <c r="O32" s="94"/>
      <c r="P32" s="94"/>
      <c r="Q32" s="94"/>
      <c r="R32" s="94"/>
    </row>
    <row r="33" spans="1:18" x14ac:dyDescent="0.2">
      <c r="A33" s="80" t="s">
        <v>212</v>
      </c>
      <c r="E33" s="94"/>
      <c r="F33" s="94"/>
      <c r="G33" s="94"/>
      <c r="H33" s="94"/>
      <c r="I33" s="96"/>
      <c r="J33" s="96"/>
      <c r="K33" s="104" t="s">
        <v>206</v>
      </c>
      <c r="L33" s="105"/>
      <c r="M33" s="105"/>
      <c r="N33" s="105"/>
      <c r="O33" s="106">
        <f>+E31+E53+O15+O20+O29+O31</f>
        <v>0.99999999999999989</v>
      </c>
      <c r="P33" s="106">
        <f>+F31+F53+P15+P20+P29+P31</f>
        <v>1</v>
      </c>
      <c r="Q33" s="106">
        <f>+G31+G53+Q15+Q20+Q29+Q31</f>
        <v>1</v>
      </c>
      <c r="R33" s="106">
        <f>+H31+H53+R15+R20+R29+R31</f>
        <v>1</v>
      </c>
    </row>
    <row r="34" spans="1:18" hidden="1" outlineLevel="1" x14ac:dyDescent="0.2">
      <c r="A34" t="s">
        <v>175</v>
      </c>
      <c r="E34" s="94"/>
      <c r="F34" s="94"/>
      <c r="G34" s="94"/>
      <c r="H34" s="94"/>
      <c r="I34" s="96"/>
      <c r="J34" s="96"/>
      <c r="K34" s="96"/>
      <c r="L34" s="96"/>
      <c r="M34" s="96"/>
      <c r="N34" s="96"/>
      <c r="O34" s="98"/>
      <c r="P34" s="98"/>
      <c r="Q34" s="98"/>
      <c r="R34" s="98"/>
    </row>
    <row r="35" spans="1:18" hidden="1" outlineLevel="1" x14ac:dyDescent="0.2">
      <c r="A35" t="s">
        <v>176</v>
      </c>
      <c r="E35" s="94"/>
      <c r="F35" s="94"/>
      <c r="G35" s="94"/>
      <c r="H35" s="94"/>
      <c r="I35" s="96"/>
      <c r="J35" s="96"/>
      <c r="K35" s="96"/>
      <c r="L35" s="96"/>
      <c r="M35" s="96"/>
      <c r="N35" s="96"/>
      <c r="O35" s="96"/>
      <c r="P35" s="96"/>
      <c r="Q35" s="96"/>
      <c r="R35" s="96"/>
    </row>
    <row r="36" spans="1:18" hidden="1" outlineLevel="1" x14ac:dyDescent="0.2">
      <c r="A36" t="s">
        <v>177</v>
      </c>
      <c r="E36" s="94"/>
      <c r="F36" s="94"/>
      <c r="G36" s="94"/>
      <c r="H36" s="94"/>
      <c r="I36" s="96"/>
      <c r="J36" s="96"/>
      <c r="K36" s="96"/>
      <c r="L36" s="96"/>
      <c r="M36" s="96"/>
      <c r="N36" s="96"/>
      <c r="O36" s="96"/>
      <c r="P36" s="96"/>
      <c r="Q36" s="96"/>
      <c r="R36" s="96"/>
    </row>
    <row r="37" spans="1:18" hidden="1" outlineLevel="1" x14ac:dyDescent="0.2">
      <c r="A37" t="s">
        <v>178</v>
      </c>
      <c r="E37" s="94"/>
      <c r="F37" s="94"/>
      <c r="G37" s="94"/>
      <c r="H37" s="94"/>
      <c r="I37" s="96"/>
      <c r="J37" s="96"/>
      <c r="K37" s="96"/>
      <c r="L37" s="96"/>
      <c r="M37" s="96"/>
      <c r="N37" s="96"/>
      <c r="O37" s="96"/>
      <c r="P37" s="96"/>
      <c r="Q37" s="96"/>
      <c r="R37" s="96"/>
    </row>
    <row r="38" spans="1:18" hidden="1" outlineLevel="1" x14ac:dyDescent="0.2">
      <c r="A38" t="s">
        <v>179</v>
      </c>
      <c r="E38" s="94"/>
      <c r="F38" s="94"/>
      <c r="G38" s="94"/>
      <c r="H38" s="94"/>
      <c r="I38" s="96"/>
      <c r="J38" s="96"/>
      <c r="K38" s="96"/>
      <c r="L38" s="96"/>
      <c r="M38" s="96"/>
      <c r="N38" s="96"/>
      <c r="O38" s="96"/>
      <c r="P38" s="96"/>
      <c r="Q38" s="96"/>
      <c r="R38" s="96"/>
    </row>
    <row r="39" spans="1:18" hidden="1" outlineLevel="1" x14ac:dyDescent="0.2">
      <c r="A39" t="s">
        <v>180</v>
      </c>
      <c r="E39" s="94"/>
      <c r="F39" s="94"/>
      <c r="G39" s="94"/>
      <c r="H39" s="94"/>
      <c r="I39" s="96"/>
      <c r="J39" s="96"/>
      <c r="K39" s="96"/>
      <c r="L39" s="96"/>
      <c r="M39" s="96"/>
      <c r="N39" s="96"/>
      <c r="O39" s="96"/>
      <c r="P39" s="96"/>
      <c r="Q39" s="96"/>
      <c r="R39" s="96"/>
    </row>
    <row r="40" spans="1:18" hidden="1" outlineLevel="1" x14ac:dyDescent="0.2">
      <c r="A40" t="s">
        <v>181</v>
      </c>
      <c r="E40" s="94"/>
      <c r="F40" s="94"/>
      <c r="G40" s="94"/>
      <c r="H40" s="94"/>
      <c r="I40" s="96"/>
      <c r="J40" s="96"/>
      <c r="K40" s="96"/>
      <c r="L40" s="96"/>
      <c r="M40" s="96"/>
      <c r="N40" s="96"/>
      <c r="O40" s="96"/>
      <c r="P40" s="96"/>
      <c r="Q40" s="96"/>
      <c r="R40" s="96"/>
    </row>
    <row r="41" spans="1:18" hidden="1" outlineLevel="1" x14ac:dyDescent="0.2">
      <c r="A41" t="s">
        <v>182</v>
      </c>
      <c r="E41" s="94"/>
      <c r="F41" s="94"/>
      <c r="G41" s="94"/>
      <c r="H41" s="94"/>
      <c r="I41" s="96"/>
      <c r="J41" s="96"/>
      <c r="K41" s="96"/>
      <c r="L41" s="96"/>
      <c r="M41" s="96"/>
      <c r="N41" s="96"/>
      <c r="O41" s="96"/>
      <c r="P41" s="96"/>
      <c r="Q41" s="96"/>
      <c r="R41" s="96"/>
    </row>
    <row r="42" spans="1:18" hidden="1" outlineLevel="1" x14ac:dyDescent="0.2">
      <c r="A42" t="s">
        <v>183</v>
      </c>
      <c r="E42" s="94"/>
      <c r="F42" s="94"/>
      <c r="G42" s="94"/>
      <c r="H42" s="94"/>
      <c r="I42" s="96"/>
      <c r="J42" s="96"/>
      <c r="K42" s="96"/>
      <c r="L42" s="96"/>
      <c r="M42" s="96"/>
      <c r="N42" s="96"/>
      <c r="O42" s="96"/>
      <c r="P42" s="96"/>
      <c r="Q42" s="96"/>
      <c r="R42" s="96"/>
    </row>
    <row r="43" spans="1:18" hidden="1" outlineLevel="1" x14ac:dyDescent="0.2">
      <c r="A43" t="s">
        <v>184</v>
      </c>
      <c r="E43" s="94"/>
      <c r="F43" s="94"/>
      <c r="G43" s="94"/>
      <c r="H43" s="94"/>
      <c r="I43" s="96"/>
      <c r="J43" s="96"/>
      <c r="K43" s="96"/>
      <c r="L43" s="96"/>
      <c r="M43" s="96"/>
      <c r="N43" s="96"/>
      <c r="O43" s="96"/>
      <c r="P43" s="96"/>
      <c r="Q43" s="96"/>
      <c r="R43" s="96"/>
    </row>
    <row r="44" spans="1:18" hidden="1" outlineLevel="1" x14ac:dyDescent="0.2">
      <c r="A44" t="s">
        <v>185</v>
      </c>
      <c r="E44" s="94"/>
      <c r="F44" s="94"/>
      <c r="G44" s="94"/>
      <c r="H44" s="94"/>
      <c r="I44" s="96"/>
      <c r="J44" s="96"/>
      <c r="K44" s="96"/>
      <c r="L44" s="96"/>
      <c r="M44" s="96"/>
      <c r="N44" s="96"/>
      <c r="O44" s="96"/>
      <c r="P44" s="96"/>
      <c r="Q44" s="96"/>
      <c r="R44" s="96"/>
    </row>
    <row r="45" spans="1:18" hidden="1" outlineLevel="1" x14ac:dyDescent="0.2">
      <c r="A45" t="s">
        <v>186</v>
      </c>
      <c r="E45" s="94"/>
      <c r="F45" s="94"/>
      <c r="G45" s="94"/>
      <c r="H45" s="94"/>
      <c r="I45" s="96"/>
      <c r="J45" s="96"/>
      <c r="K45" s="96"/>
      <c r="L45" s="96"/>
      <c r="M45" s="96"/>
      <c r="N45" s="96"/>
      <c r="O45" s="96"/>
      <c r="P45" s="96"/>
      <c r="Q45" s="96"/>
      <c r="R45" s="96"/>
    </row>
    <row r="46" spans="1:18" hidden="1" outlineLevel="1" x14ac:dyDescent="0.2">
      <c r="A46" t="s">
        <v>187</v>
      </c>
      <c r="E46" s="94"/>
      <c r="F46" s="94"/>
      <c r="G46" s="94"/>
      <c r="H46" s="94"/>
      <c r="I46" s="96"/>
      <c r="J46" s="96"/>
      <c r="K46" s="96"/>
      <c r="L46" s="96"/>
      <c r="M46" s="96"/>
      <c r="N46" s="96"/>
      <c r="O46" s="96"/>
      <c r="P46" s="96"/>
      <c r="Q46" s="96"/>
      <c r="R46" s="96"/>
    </row>
    <row r="47" spans="1:18" hidden="1" outlineLevel="1" x14ac:dyDescent="0.2">
      <c r="A47" t="s">
        <v>188</v>
      </c>
      <c r="E47" s="94"/>
      <c r="F47" s="94"/>
      <c r="G47" s="94"/>
      <c r="H47" s="94"/>
      <c r="I47" s="96"/>
      <c r="J47" s="96"/>
      <c r="K47" s="96"/>
      <c r="L47" s="96"/>
      <c r="M47" s="96"/>
      <c r="N47" s="96"/>
      <c r="O47" s="96"/>
      <c r="P47" s="96"/>
      <c r="Q47" s="96"/>
      <c r="R47" s="96"/>
    </row>
    <row r="48" spans="1:18" hidden="1" outlineLevel="1" x14ac:dyDescent="0.2">
      <c r="A48" t="s">
        <v>189</v>
      </c>
      <c r="E48" s="94"/>
      <c r="F48" s="94"/>
      <c r="G48" s="94"/>
      <c r="H48" s="94"/>
      <c r="I48" s="96"/>
      <c r="J48" s="96"/>
      <c r="K48" s="96"/>
      <c r="L48" s="96"/>
      <c r="M48" s="96"/>
      <c r="N48" s="96"/>
      <c r="O48" s="96"/>
      <c r="P48" s="96"/>
      <c r="Q48" s="96"/>
      <c r="R48" s="96"/>
    </row>
    <row r="49" spans="1:18" hidden="1" outlineLevel="1" x14ac:dyDescent="0.2">
      <c r="A49" t="s">
        <v>190</v>
      </c>
      <c r="E49" s="94"/>
      <c r="F49" s="94"/>
      <c r="G49" s="94"/>
      <c r="H49" s="94"/>
      <c r="I49" s="96"/>
      <c r="J49" s="96"/>
      <c r="K49" s="96"/>
      <c r="L49" s="96"/>
      <c r="M49" s="96"/>
      <c r="N49" s="96"/>
      <c r="O49" s="96"/>
      <c r="P49" s="96"/>
      <c r="Q49" s="96"/>
      <c r="R49" s="96"/>
    </row>
    <row r="50" spans="1:18" hidden="1" outlineLevel="1" x14ac:dyDescent="0.2">
      <c r="A50" t="s">
        <v>191</v>
      </c>
      <c r="E50" s="94"/>
      <c r="F50" s="94"/>
      <c r="G50" s="94"/>
      <c r="H50" s="94"/>
      <c r="I50" s="96"/>
      <c r="J50" s="96"/>
      <c r="K50" s="96"/>
      <c r="L50" s="96"/>
      <c r="M50" s="96"/>
      <c r="N50" s="96"/>
      <c r="O50" s="96"/>
      <c r="P50" s="96"/>
      <c r="Q50" s="96"/>
      <c r="R50" s="96"/>
    </row>
    <row r="51" spans="1:18" hidden="1" outlineLevel="1" x14ac:dyDescent="0.2">
      <c r="A51" t="s">
        <v>192</v>
      </c>
      <c r="E51" s="94"/>
      <c r="F51" s="94"/>
      <c r="G51" s="94"/>
      <c r="H51" s="94"/>
      <c r="I51" s="96"/>
      <c r="J51" s="96"/>
      <c r="K51" s="96"/>
      <c r="L51" s="96"/>
      <c r="M51" s="96"/>
      <c r="N51" s="96"/>
      <c r="O51" s="96"/>
      <c r="P51" s="96"/>
      <c r="Q51" s="96"/>
      <c r="R51" s="96"/>
    </row>
    <row r="52" spans="1:18" hidden="1" outlineLevel="1" x14ac:dyDescent="0.2">
      <c r="A52" t="s">
        <v>193</v>
      </c>
      <c r="E52" s="100"/>
      <c r="F52" s="100"/>
      <c r="G52" s="100"/>
      <c r="H52" s="100"/>
      <c r="I52" s="96"/>
      <c r="J52" s="96"/>
      <c r="K52" s="96"/>
      <c r="L52" s="96"/>
      <c r="M52" s="96"/>
      <c r="N52" s="96"/>
      <c r="O52" s="96"/>
      <c r="P52" s="96"/>
      <c r="Q52" s="96"/>
      <c r="R52" s="96"/>
    </row>
    <row r="53" spans="1:18" collapsed="1" x14ac:dyDescent="0.2">
      <c r="A53" t="s">
        <v>205</v>
      </c>
      <c r="E53" s="94">
        <f>+'T. Profits'!E53/'T. Profits'!$O$33</f>
        <v>6.8208816605110259E-2</v>
      </c>
      <c r="F53" s="94">
        <f>+'T. Profits'!F53/'T. Profits'!$P$33</f>
        <v>0.21647268024571614</v>
      </c>
      <c r="G53" s="94">
        <f>+'T. Profits'!G53/'T. Profits'!$Q$33</f>
        <v>0.1227658517508535</v>
      </c>
      <c r="H53" s="95">
        <f>+'T. Profits'!H53/'T. Profits'!$R$33</f>
        <v>0.1218758433373088</v>
      </c>
      <c r="I53" s="96"/>
      <c r="J53" s="96"/>
      <c r="K53" s="96"/>
      <c r="L53" s="96"/>
      <c r="M53" s="96"/>
      <c r="N53" s="96"/>
      <c r="O53" s="96"/>
      <c r="P53" s="96"/>
      <c r="Q53" s="96"/>
      <c r="R53" s="96"/>
    </row>
    <row r="54" spans="1:18" x14ac:dyDescent="0.2">
      <c r="E54" s="98"/>
      <c r="F54" s="98"/>
      <c r="G54" s="98"/>
      <c r="H54" s="98"/>
      <c r="I54" s="96"/>
      <c r="J54" s="96"/>
      <c r="K54" s="96"/>
      <c r="L54" s="96"/>
      <c r="M54" s="96"/>
      <c r="N54" s="96"/>
      <c r="O54" s="96"/>
      <c r="P54" s="96"/>
      <c r="Q54" s="96"/>
      <c r="R54" s="96"/>
    </row>
    <row r="55" spans="1:18" x14ac:dyDescent="0.2">
      <c r="O55" s="96"/>
      <c r="P55" s="96"/>
      <c r="Q55" s="96"/>
    </row>
  </sheetData>
  <pageMargins left="0.25" right="0.25" top="1" bottom="0.5" header="0.5" footer="0.5"/>
  <pageSetup scale="83" orientation="landscape" verticalDpi="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38"/>
  <sheetViews>
    <sheetView workbookViewId="0">
      <selection activeCell="A30" sqref="A30"/>
    </sheetView>
  </sheetViews>
  <sheetFormatPr defaultRowHeight="12.75" x14ac:dyDescent="0.2"/>
  <cols>
    <col min="1" max="1" width="2.7109375" customWidth="1"/>
    <col min="2" max="2" width="10.7109375" customWidth="1"/>
    <col min="3" max="3" width="11.85546875" customWidth="1"/>
    <col min="4" max="4" width="8.42578125" customWidth="1"/>
    <col min="5" max="5" width="2.28515625" customWidth="1"/>
    <col min="7" max="7" width="1.7109375" customWidth="1"/>
    <col min="8" max="8" width="13.85546875" bestFit="1" customWidth="1"/>
    <col min="9" max="9" width="2.140625" customWidth="1"/>
    <col min="10" max="10" width="11.28515625" bestFit="1" customWidth="1"/>
    <col min="11" max="11" width="1.5703125" customWidth="1"/>
    <col min="12" max="12" width="12.140625" customWidth="1"/>
    <col min="13" max="13" width="13.140625" customWidth="1"/>
    <col min="14" max="14" width="11.5703125" customWidth="1"/>
    <col min="15" max="15" width="11.28515625" customWidth="1"/>
    <col min="16" max="16" width="2.5703125" customWidth="1"/>
    <col min="17" max="17" width="12" customWidth="1"/>
    <col min="18" max="19" width="10.140625" customWidth="1"/>
    <col min="20" max="20" width="9.85546875" customWidth="1"/>
  </cols>
  <sheetData>
    <row r="2" spans="2:21" ht="18" x14ac:dyDescent="0.25">
      <c r="B2" s="171" t="s">
        <v>681</v>
      </c>
    </row>
    <row r="4" spans="2:21" s="617" customFormat="1" ht="63.75" x14ac:dyDescent="0.2">
      <c r="F4" s="620" t="s">
        <v>691</v>
      </c>
      <c r="G4" s="620"/>
      <c r="H4" s="620" t="s">
        <v>692</v>
      </c>
      <c r="I4" s="620"/>
      <c r="J4" s="620" t="s">
        <v>693</v>
      </c>
      <c r="K4" s="620"/>
      <c r="L4" s="620" t="s">
        <v>711</v>
      </c>
      <c r="M4" s="620" t="s">
        <v>726</v>
      </c>
      <c r="N4" s="620" t="s">
        <v>694</v>
      </c>
      <c r="O4" s="620" t="s">
        <v>695</v>
      </c>
      <c r="P4" s="620"/>
      <c r="Q4" s="620" t="s">
        <v>696</v>
      </c>
      <c r="R4" s="620" t="s">
        <v>697</v>
      </c>
      <c r="S4" s="620" t="s">
        <v>698</v>
      </c>
      <c r="T4" s="620" t="s">
        <v>699</v>
      </c>
      <c r="U4" s="134"/>
    </row>
    <row r="5" spans="2:21" s="110" customFormat="1" ht="15.75" x14ac:dyDescent="0.25">
      <c r="B5" s="615" t="s">
        <v>722</v>
      </c>
    </row>
    <row r="6" spans="2:21" x14ac:dyDescent="0.2">
      <c r="B6" t="s">
        <v>682</v>
      </c>
      <c r="C6" s="149"/>
      <c r="D6" s="149"/>
      <c r="E6" s="149"/>
      <c r="F6" s="149">
        <v>9</v>
      </c>
      <c r="G6" s="149"/>
      <c r="H6" s="65">
        <v>2140366</v>
      </c>
      <c r="J6" s="65">
        <v>237818</v>
      </c>
      <c r="L6" s="65"/>
      <c r="M6" s="65">
        <v>2230295</v>
      </c>
      <c r="N6" s="65">
        <v>734483</v>
      </c>
      <c r="O6" s="65">
        <v>262076</v>
      </c>
      <c r="Q6" s="65">
        <f>L6/$F6</f>
        <v>0</v>
      </c>
      <c r="R6" s="65">
        <f t="shared" ref="R6:T10" si="0">M6/$F6</f>
        <v>247810.55555555556</v>
      </c>
      <c r="S6" s="65">
        <f t="shared" si="0"/>
        <v>81609.222222222219</v>
      </c>
      <c r="T6" s="65">
        <f t="shared" si="0"/>
        <v>29119.555555555555</v>
      </c>
    </row>
    <row r="7" spans="2:21" x14ac:dyDescent="0.2">
      <c r="B7" t="s">
        <v>683</v>
      </c>
      <c r="C7" s="173"/>
      <c r="D7" s="149"/>
      <c r="E7" s="149"/>
      <c r="F7" s="149">
        <v>24</v>
      </c>
      <c r="G7" s="149"/>
      <c r="H7" s="76">
        <v>1855250</v>
      </c>
      <c r="J7" s="76">
        <v>77302</v>
      </c>
      <c r="K7" s="76"/>
      <c r="L7" s="76"/>
      <c r="M7" s="76">
        <v>593615</v>
      </c>
      <c r="N7" s="76">
        <v>186929</v>
      </c>
      <c r="O7" s="76">
        <v>167522</v>
      </c>
      <c r="P7" s="76"/>
      <c r="Q7" s="76">
        <f>L7/$F7</f>
        <v>0</v>
      </c>
      <c r="R7" s="76">
        <f t="shared" si="0"/>
        <v>24733.958333333332</v>
      </c>
      <c r="S7" s="76">
        <f t="shared" si="0"/>
        <v>7788.708333333333</v>
      </c>
      <c r="T7" s="76">
        <f t="shared" si="0"/>
        <v>6980.083333333333</v>
      </c>
    </row>
    <row r="8" spans="2:21" x14ac:dyDescent="0.2">
      <c r="B8" t="s">
        <v>710</v>
      </c>
      <c r="C8" s="173"/>
      <c r="D8" s="149"/>
      <c r="E8" s="149"/>
      <c r="F8" s="149">
        <v>73</v>
      </c>
      <c r="G8" s="149"/>
      <c r="H8" s="76">
        <v>1989013</v>
      </c>
      <c r="J8" s="76">
        <v>27247</v>
      </c>
      <c r="L8" s="76"/>
      <c r="M8" s="76">
        <v>340135</v>
      </c>
      <c r="N8" s="76">
        <v>107906</v>
      </c>
      <c r="O8" s="76">
        <v>72035</v>
      </c>
      <c r="Q8" s="76">
        <f>L8/$F8</f>
        <v>0</v>
      </c>
      <c r="R8" s="76">
        <f t="shared" si="0"/>
        <v>4659.3835616438355</v>
      </c>
      <c r="S8" s="76">
        <f t="shared" si="0"/>
        <v>1478.1643835616439</v>
      </c>
      <c r="T8" s="76">
        <f t="shared" si="0"/>
        <v>986.78082191780823</v>
      </c>
    </row>
    <row r="9" spans="2:21" x14ac:dyDescent="0.2">
      <c r="B9" t="s">
        <v>684</v>
      </c>
      <c r="C9" s="173"/>
      <c r="D9" s="149"/>
      <c r="E9" s="149"/>
      <c r="F9" s="210">
        <v>13</v>
      </c>
      <c r="G9" s="210"/>
      <c r="H9" s="79">
        <v>667411</v>
      </c>
      <c r="I9" s="73"/>
      <c r="J9" s="79">
        <v>51339</v>
      </c>
      <c r="K9" s="73"/>
      <c r="L9" s="79"/>
      <c r="M9" s="79">
        <v>76750</v>
      </c>
      <c r="N9" s="79">
        <v>48500</v>
      </c>
      <c r="O9" s="79">
        <v>35300</v>
      </c>
      <c r="P9" s="73"/>
      <c r="Q9" s="79">
        <f>L9/$F9</f>
        <v>0</v>
      </c>
      <c r="R9" s="79">
        <f t="shared" si="0"/>
        <v>5903.8461538461543</v>
      </c>
      <c r="S9" s="79">
        <f t="shared" si="0"/>
        <v>3730.7692307692309</v>
      </c>
      <c r="T9" s="79">
        <f t="shared" si="0"/>
        <v>2715.3846153846152</v>
      </c>
    </row>
    <row r="10" spans="2:21" x14ac:dyDescent="0.2">
      <c r="B10" s="613" t="s">
        <v>685</v>
      </c>
      <c r="C10" s="173"/>
      <c r="D10" s="149"/>
      <c r="E10" s="149"/>
      <c r="F10" s="149">
        <f>SUM(F6:F9)</f>
        <v>119</v>
      </c>
      <c r="G10" s="149"/>
      <c r="H10" s="65">
        <f>SUM(H6:H9)</f>
        <v>6652040</v>
      </c>
      <c r="J10" s="65">
        <f>H10/F10</f>
        <v>55899.495798319331</v>
      </c>
      <c r="L10" s="65">
        <v>11297000</v>
      </c>
      <c r="M10" s="65">
        <f>SUM(M6:M9)</f>
        <v>3240795</v>
      </c>
      <c r="N10" s="65">
        <f>SUM(N6:N9)</f>
        <v>1077818</v>
      </c>
      <c r="O10" s="65">
        <f>SUM(O6:O9)</f>
        <v>536933</v>
      </c>
      <c r="Q10" s="65">
        <f>L10/$F10</f>
        <v>94932.773109243702</v>
      </c>
      <c r="R10" s="65">
        <f t="shared" si="0"/>
        <v>27233.571428571428</v>
      </c>
      <c r="S10" s="65">
        <f t="shared" si="0"/>
        <v>9057.2941176470595</v>
      </c>
      <c r="T10" s="65">
        <f t="shared" si="0"/>
        <v>4512.042016806723</v>
      </c>
    </row>
    <row r="11" spans="2:21" x14ac:dyDescent="0.2">
      <c r="B11" s="110"/>
      <c r="C11" s="173"/>
      <c r="D11" s="149"/>
      <c r="E11" s="149"/>
      <c r="F11" s="149"/>
      <c r="G11" s="149"/>
    </row>
    <row r="12" spans="2:21" s="110" customFormat="1" ht="15.75" x14ac:dyDescent="0.25">
      <c r="B12" s="615" t="s">
        <v>721</v>
      </c>
      <c r="C12" s="616"/>
      <c r="D12" s="146"/>
      <c r="E12" s="146"/>
      <c r="F12" s="146"/>
      <c r="G12" s="146"/>
    </row>
    <row r="13" spans="2:21" x14ac:dyDescent="0.2">
      <c r="B13" s="110" t="s">
        <v>686</v>
      </c>
      <c r="C13" s="173"/>
      <c r="D13" s="149"/>
      <c r="E13" s="149"/>
      <c r="F13" s="149">
        <v>5</v>
      </c>
      <c r="G13" s="149"/>
      <c r="H13" s="65">
        <v>903535</v>
      </c>
      <c r="J13" s="65">
        <f>H13/F13</f>
        <v>180707</v>
      </c>
      <c r="L13" s="65"/>
      <c r="M13" s="65">
        <v>100000</v>
      </c>
      <c r="N13" s="65">
        <v>360000</v>
      </c>
      <c r="O13" s="65">
        <v>0</v>
      </c>
      <c r="Q13" s="65">
        <f t="shared" ref="Q13:R16" si="1">L13/$F13</f>
        <v>0</v>
      </c>
      <c r="R13" s="65">
        <f t="shared" si="1"/>
        <v>20000</v>
      </c>
      <c r="S13" s="65">
        <f t="shared" ref="S13:T16" si="2">N13/$F13</f>
        <v>72000</v>
      </c>
      <c r="T13" s="65">
        <f t="shared" si="2"/>
        <v>0</v>
      </c>
    </row>
    <row r="14" spans="2:21" x14ac:dyDescent="0.2">
      <c r="B14" s="110" t="s">
        <v>710</v>
      </c>
      <c r="C14" s="173"/>
      <c r="D14" s="149"/>
      <c r="E14" s="149"/>
      <c r="F14" s="149">
        <v>3</v>
      </c>
      <c r="G14" s="149"/>
      <c r="H14" s="76">
        <v>155492</v>
      </c>
      <c r="J14" s="76">
        <f>H14/F14</f>
        <v>51830.666666666664</v>
      </c>
      <c r="L14" s="76"/>
      <c r="M14" s="76">
        <v>23000</v>
      </c>
      <c r="N14" s="76">
        <v>83500</v>
      </c>
      <c r="O14" s="76">
        <v>3500</v>
      </c>
      <c r="Q14" s="76">
        <f t="shared" si="1"/>
        <v>0</v>
      </c>
      <c r="R14" s="76">
        <f t="shared" si="1"/>
        <v>7666.666666666667</v>
      </c>
      <c r="S14" s="76">
        <f t="shared" si="2"/>
        <v>27833.333333333332</v>
      </c>
      <c r="T14" s="76">
        <f t="shared" si="2"/>
        <v>1166.6666666666667</v>
      </c>
    </row>
    <row r="15" spans="2:21" ht="13.5" thickBot="1" x14ac:dyDescent="0.25">
      <c r="B15" s="110" t="s">
        <v>684</v>
      </c>
      <c r="C15" s="173"/>
      <c r="D15" s="149"/>
      <c r="E15" s="149"/>
      <c r="F15" s="210">
        <v>2</v>
      </c>
      <c r="G15" s="210"/>
      <c r="H15" s="79">
        <v>63006</v>
      </c>
      <c r="I15" s="73"/>
      <c r="J15" s="79">
        <f>H15/F15</f>
        <v>31503</v>
      </c>
      <c r="K15" s="73"/>
      <c r="L15" s="79"/>
      <c r="M15" s="79">
        <v>0</v>
      </c>
      <c r="N15" s="79">
        <v>0</v>
      </c>
      <c r="O15" s="79">
        <v>0</v>
      </c>
      <c r="P15" s="73"/>
      <c r="Q15" s="79">
        <f t="shared" si="1"/>
        <v>0</v>
      </c>
      <c r="R15" s="79">
        <f t="shared" si="1"/>
        <v>0</v>
      </c>
      <c r="S15" s="79">
        <f t="shared" si="2"/>
        <v>0</v>
      </c>
      <c r="T15" s="79">
        <f t="shared" si="2"/>
        <v>0</v>
      </c>
    </row>
    <row r="16" spans="2:21" ht="13.5" thickBot="1" x14ac:dyDescent="0.25">
      <c r="B16" s="618" t="s">
        <v>687</v>
      </c>
      <c r="C16" s="173"/>
      <c r="D16" s="149"/>
      <c r="E16" s="149"/>
      <c r="F16" s="149">
        <f>SUM(F13:F15)</f>
        <v>10</v>
      </c>
      <c r="G16" s="149"/>
      <c r="H16" s="614">
        <f>SUM(H11:H15)</f>
        <v>1122033</v>
      </c>
      <c r="J16" s="65">
        <f>H16/F16</f>
        <v>112203.3</v>
      </c>
      <c r="L16" s="65">
        <f>SUM(L12:L15)</f>
        <v>0</v>
      </c>
      <c r="M16" s="65">
        <f>SUM(M12:M15)</f>
        <v>123000</v>
      </c>
      <c r="N16" s="65">
        <f>SUM(N12:N15)</f>
        <v>443500</v>
      </c>
      <c r="O16" s="65">
        <f>SUM(O12:O15)</f>
        <v>3500</v>
      </c>
      <c r="Q16" s="65">
        <f t="shared" si="1"/>
        <v>0</v>
      </c>
      <c r="R16" s="65">
        <f t="shared" si="1"/>
        <v>12300</v>
      </c>
      <c r="S16" s="65">
        <f t="shared" si="2"/>
        <v>44350</v>
      </c>
      <c r="T16" s="65">
        <f t="shared" si="2"/>
        <v>350</v>
      </c>
    </row>
    <row r="17" spans="1:125" x14ac:dyDescent="0.2">
      <c r="B17" s="110"/>
      <c r="C17" s="173"/>
      <c r="D17" s="149"/>
      <c r="E17" s="149"/>
      <c r="F17" s="149"/>
      <c r="G17" s="149"/>
    </row>
    <row r="18" spans="1:125" s="134" customFormat="1" ht="15.75" x14ac:dyDescent="0.25">
      <c r="A18"/>
      <c r="B18" s="615" t="s">
        <v>723</v>
      </c>
      <c r="C18" s="173"/>
      <c r="D18" s="149"/>
      <c r="E18" s="149"/>
      <c r="F18" s="149"/>
      <c r="G18" s="149"/>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row>
    <row r="19" spans="1:125" x14ac:dyDescent="0.2">
      <c r="B19" s="110" t="s">
        <v>686</v>
      </c>
      <c r="C19" s="173"/>
      <c r="D19" s="149"/>
      <c r="E19" s="149"/>
      <c r="F19" s="149">
        <v>8</v>
      </c>
      <c r="G19" s="149"/>
      <c r="H19" s="65">
        <v>1801894</v>
      </c>
      <c r="J19" s="65">
        <f>H19/F19</f>
        <v>225236.75</v>
      </c>
      <c r="L19" s="65"/>
      <c r="M19" s="65">
        <v>1837000</v>
      </c>
      <c r="N19" s="65">
        <v>0</v>
      </c>
      <c r="O19" s="65">
        <v>10000</v>
      </c>
      <c r="Q19" s="65">
        <f t="shared" ref="Q19:R22" si="3">L19/$F19</f>
        <v>0</v>
      </c>
      <c r="R19" s="65">
        <f t="shared" si="3"/>
        <v>229625</v>
      </c>
      <c r="S19" s="65">
        <f t="shared" ref="S19:T22" si="4">N19/$F19</f>
        <v>0</v>
      </c>
      <c r="T19" s="65">
        <f t="shared" si="4"/>
        <v>1250</v>
      </c>
    </row>
    <row r="20" spans="1:125" x14ac:dyDescent="0.2">
      <c r="B20" s="110" t="s">
        <v>710</v>
      </c>
      <c r="C20" s="173"/>
      <c r="D20" s="149"/>
      <c r="E20" s="149"/>
      <c r="F20" s="149">
        <v>7</v>
      </c>
      <c r="G20" s="149"/>
      <c r="H20" s="76">
        <v>474426</v>
      </c>
      <c r="J20" s="76">
        <f>H20/F20</f>
        <v>67775.142857142855</v>
      </c>
      <c r="L20" s="76"/>
      <c r="M20" s="76">
        <v>55000</v>
      </c>
      <c r="N20" s="76">
        <v>0</v>
      </c>
      <c r="O20" s="76">
        <v>3000</v>
      </c>
      <c r="Q20" s="76">
        <f t="shared" si="3"/>
        <v>0</v>
      </c>
      <c r="R20" s="76">
        <f t="shared" si="3"/>
        <v>7857.1428571428569</v>
      </c>
      <c r="S20" s="76">
        <f t="shared" si="4"/>
        <v>0</v>
      </c>
      <c r="T20" s="76">
        <f t="shared" si="4"/>
        <v>428.57142857142856</v>
      </c>
    </row>
    <row r="21" spans="1:125" x14ac:dyDescent="0.2">
      <c r="B21" s="110" t="s">
        <v>684</v>
      </c>
      <c r="C21" s="173"/>
      <c r="D21" s="149"/>
      <c r="E21" s="149"/>
      <c r="F21" s="210">
        <v>6</v>
      </c>
      <c r="G21" s="210"/>
      <c r="H21" s="79">
        <v>338429</v>
      </c>
      <c r="I21" s="73"/>
      <c r="J21" s="79">
        <f>H21/F21</f>
        <v>56404.833333333336</v>
      </c>
      <c r="K21" s="73"/>
      <c r="L21" s="79"/>
      <c r="M21" s="79">
        <v>31000</v>
      </c>
      <c r="N21" s="79">
        <v>0</v>
      </c>
      <c r="O21" s="79">
        <v>0</v>
      </c>
      <c r="P21" s="73"/>
      <c r="Q21" s="79">
        <f t="shared" si="3"/>
        <v>0</v>
      </c>
      <c r="R21" s="79">
        <f t="shared" si="3"/>
        <v>5166.666666666667</v>
      </c>
      <c r="S21" s="79">
        <f t="shared" si="4"/>
        <v>0</v>
      </c>
      <c r="T21" s="79">
        <f t="shared" si="4"/>
        <v>0</v>
      </c>
    </row>
    <row r="22" spans="1:125" x14ac:dyDescent="0.2">
      <c r="B22" s="618" t="s">
        <v>688</v>
      </c>
      <c r="C22" s="173"/>
      <c r="D22" s="149"/>
      <c r="E22" s="149"/>
      <c r="F22" s="149">
        <f>SUM(F19:F21)</f>
        <v>21</v>
      </c>
      <c r="G22" s="149"/>
      <c r="H22" s="65">
        <f>SUM(H18:H21)</f>
        <v>2614749</v>
      </c>
      <c r="J22" s="65">
        <f>H22/F22</f>
        <v>124511.85714285714</v>
      </c>
      <c r="L22" s="65">
        <v>1434000</v>
      </c>
      <c r="M22" s="65">
        <f>SUM(M18:M21)</f>
        <v>1923000</v>
      </c>
      <c r="N22" s="65">
        <f>SUM(N18:N21)</f>
        <v>0</v>
      </c>
      <c r="O22" s="65">
        <f>SUM(O18:O21)</f>
        <v>13000</v>
      </c>
      <c r="Q22" s="65">
        <f t="shared" si="3"/>
        <v>68285.71428571429</v>
      </c>
      <c r="R22" s="65">
        <f t="shared" si="3"/>
        <v>91571.428571428565</v>
      </c>
      <c r="S22" s="65">
        <f t="shared" si="4"/>
        <v>0</v>
      </c>
      <c r="T22" s="65">
        <f t="shared" si="4"/>
        <v>619.04761904761904</v>
      </c>
    </row>
    <row r="23" spans="1:125" x14ac:dyDescent="0.2">
      <c r="B23" s="110"/>
      <c r="C23" s="173"/>
      <c r="D23" s="149"/>
      <c r="E23" s="149"/>
      <c r="F23" s="149"/>
      <c r="G23" s="149"/>
    </row>
    <row r="24" spans="1:125" ht="15.75" x14ac:dyDescent="0.25">
      <c r="B24" s="615" t="s">
        <v>724</v>
      </c>
      <c r="C24" s="173"/>
      <c r="D24" s="149"/>
      <c r="E24" s="149"/>
      <c r="F24" s="149"/>
      <c r="G24" s="149"/>
    </row>
    <row r="25" spans="1:125" x14ac:dyDescent="0.2">
      <c r="B25" s="110" t="s">
        <v>686</v>
      </c>
      <c r="C25" s="173"/>
      <c r="D25" s="149"/>
      <c r="E25" s="149"/>
      <c r="F25" s="149">
        <v>2</v>
      </c>
      <c r="G25" s="149"/>
      <c r="H25" s="65">
        <v>575000</v>
      </c>
      <c r="J25" s="65">
        <f>H25/F25</f>
        <v>287500</v>
      </c>
      <c r="L25" s="65"/>
      <c r="M25" s="65">
        <v>1613730</v>
      </c>
      <c r="N25" s="65">
        <v>764818</v>
      </c>
      <c r="O25" s="65">
        <v>813791</v>
      </c>
      <c r="Q25" s="65">
        <f t="shared" ref="Q25:R28" si="5">L25/$F25</f>
        <v>0</v>
      </c>
      <c r="R25" s="65">
        <f t="shared" si="5"/>
        <v>806865</v>
      </c>
      <c r="S25" s="65">
        <f t="shared" ref="S25:T28" si="6">N25/$F25</f>
        <v>382409</v>
      </c>
      <c r="T25" s="65">
        <f t="shared" si="6"/>
        <v>406895.5</v>
      </c>
    </row>
    <row r="26" spans="1:125" x14ac:dyDescent="0.2">
      <c r="B26" s="110" t="s">
        <v>710</v>
      </c>
      <c r="C26" s="173"/>
      <c r="D26" s="149"/>
      <c r="E26" s="149"/>
      <c r="F26" s="149">
        <v>29</v>
      </c>
      <c r="G26" s="149"/>
      <c r="H26" s="76">
        <v>1496565</v>
      </c>
      <c r="J26" s="76">
        <f>H26/F26</f>
        <v>51605.689655172413</v>
      </c>
      <c r="L26" s="76"/>
      <c r="M26" s="76">
        <v>127500</v>
      </c>
      <c r="N26" s="76">
        <v>112500</v>
      </c>
      <c r="O26" s="76">
        <v>106000</v>
      </c>
      <c r="Q26" s="76">
        <f t="shared" si="5"/>
        <v>0</v>
      </c>
      <c r="R26" s="76">
        <f t="shared" si="5"/>
        <v>4396.5517241379312</v>
      </c>
      <c r="S26" s="76">
        <f t="shared" si="6"/>
        <v>3879.3103448275861</v>
      </c>
      <c r="T26" s="76">
        <f t="shared" si="6"/>
        <v>3655.1724137931033</v>
      </c>
    </row>
    <row r="27" spans="1:125" x14ac:dyDescent="0.2">
      <c r="B27" s="110" t="s">
        <v>684</v>
      </c>
      <c r="C27" s="173"/>
      <c r="D27" s="149"/>
      <c r="E27" s="149"/>
      <c r="F27" s="210">
        <v>2</v>
      </c>
      <c r="G27" s="210"/>
      <c r="H27" s="79">
        <v>90500</v>
      </c>
      <c r="I27" s="73"/>
      <c r="J27" s="79">
        <f>H27/F27</f>
        <v>45250</v>
      </c>
      <c r="K27" s="73"/>
      <c r="L27" s="79"/>
      <c r="M27" s="79">
        <v>6200</v>
      </c>
      <c r="N27" s="79">
        <v>6000</v>
      </c>
      <c r="O27" s="79">
        <v>8000</v>
      </c>
      <c r="P27" s="73"/>
      <c r="Q27" s="79">
        <f t="shared" si="5"/>
        <v>0</v>
      </c>
      <c r="R27" s="79">
        <f t="shared" si="5"/>
        <v>3100</v>
      </c>
      <c r="S27" s="79">
        <f t="shared" si="6"/>
        <v>3000</v>
      </c>
      <c r="T27" s="79">
        <f t="shared" si="6"/>
        <v>4000</v>
      </c>
    </row>
    <row r="28" spans="1:125" x14ac:dyDescent="0.2">
      <c r="B28" s="618" t="s">
        <v>689</v>
      </c>
      <c r="C28" s="173"/>
      <c r="D28" s="149"/>
      <c r="E28" s="149"/>
      <c r="F28" s="149">
        <f>SUM(F25:F27)</f>
        <v>33</v>
      </c>
      <c r="G28" s="149"/>
      <c r="H28" s="65">
        <f>SUM(H24:H27)</f>
        <v>2162065</v>
      </c>
      <c r="J28" s="65">
        <f>H28/F28</f>
        <v>65517.121212121216</v>
      </c>
      <c r="L28" s="65">
        <f>(0+2227+631)*1000</f>
        <v>2858000</v>
      </c>
      <c r="M28" s="65">
        <f>SUM(M24:M27)</f>
        <v>1747430</v>
      </c>
      <c r="N28" s="65">
        <f>SUM(N24:N27)</f>
        <v>883318</v>
      </c>
      <c r="O28" s="65">
        <f>SUM(O24:O27)</f>
        <v>927791</v>
      </c>
      <c r="Q28" s="65">
        <f t="shared" si="5"/>
        <v>86606.060606060608</v>
      </c>
      <c r="R28" s="65">
        <f t="shared" si="5"/>
        <v>52952.42424242424</v>
      </c>
      <c r="S28" s="65">
        <f t="shared" si="6"/>
        <v>26767.21212121212</v>
      </c>
      <c r="T28" s="65">
        <f t="shared" si="6"/>
        <v>28114.878787878788</v>
      </c>
    </row>
    <row r="29" spans="1:125" x14ac:dyDescent="0.2">
      <c r="B29" s="613"/>
      <c r="C29" s="173"/>
      <c r="D29" s="149"/>
      <c r="E29" s="149"/>
      <c r="F29" s="149"/>
      <c r="G29" s="149"/>
      <c r="H29" s="65"/>
      <c r="J29" s="65"/>
      <c r="L29" s="65"/>
      <c r="M29" s="65"/>
      <c r="N29" s="65"/>
      <c r="O29" s="65"/>
      <c r="Q29" s="65"/>
      <c r="R29" s="65"/>
      <c r="S29" s="65"/>
      <c r="T29" s="65"/>
    </row>
    <row r="30" spans="1:125" ht="15.75" x14ac:dyDescent="0.25">
      <c r="B30" s="615" t="s">
        <v>725</v>
      </c>
      <c r="C30" s="173"/>
      <c r="D30" s="149"/>
      <c r="E30" s="149"/>
      <c r="F30" s="149"/>
      <c r="G30" s="149"/>
    </row>
    <row r="31" spans="1:125" x14ac:dyDescent="0.2">
      <c r="B31" s="110" t="s">
        <v>700</v>
      </c>
      <c r="C31" s="173"/>
      <c r="D31" s="149"/>
      <c r="E31" s="149"/>
      <c r="F31" s="149">
        <v>8</v>
      </c>
      <c r="G31" s="149"/>
      <c r="H31" s="65">
        <v>3488000</v>
      </c>
      <c r="J31" s="65">
        <f>H31/F31</f>
        <v>436000</v>
      </c>
      <c r="L31" s="65"/>
      <c r="M31" s="65">
        <v>2674955</v>
      </c>
      <c r="N31" s="65">
        <v>119432</v>
      </c>
      <c r="O31" s="65">
        <v>68817</v>
      </c>
      <c r="Q31" s="65">
        <f t="shared" ref="Q31:T35" si="7">L31/$F31</f>
        <v>0</v>
      </c>
      <c r="R31" s="65">
        <f t="shared" si="7"/>
        <v>334369.375</v>
      </c>
      <c r="S31" s="65">
        <f t="shared" si="7"/>
        <v>14929</v>
      </c>
      <c r="T31" s="65">
        <f t="shared" si="7"/>
        <v>8602.125</v>
      </c>
    </row>
    <row r="32" spans="1:125" x14ac:dyDescent="0.2">
      <c r="B32" s="110" t="s">
        <v>701</v>
      </c>
      <c r="C32" s="173"/>
      <c r="D32" s="149"/>
      <c r="E32" s="149"/>
      <c r="F32" s="149">
        <v>4</v>
      </c>
      <c r="G32" s="149"/>
      <c r="H32" s="76">
        <v>700000</v>
      </c>
      <c r="J32" s="76">
        <f>H32/F32</f>
        <v>175000</v>
      </c>
      <c r="L32" s="76"/>
      <c r="M32" s="76">
        <v>462500</v>
      </c>
      <c r="N32" s="76">
        <v>333000</v>
      </c>
      <c r="O32" s="76">
        <v>6500</v>
      </c>
      <c r="Q32" s="76">
        <f t="shared" si="7"/>
        <v>0</v>
      </c>
      <c r="R32" s="76">
        <f t="shared" si="7"/>
        <v>115625</v>
      </c>
      <c r="S32" s="76">
        <f t="shared" si="7"/>
        <v>83250</v>
      </c>
      <c r="T32" s="76">
        <f t="shared" si="7"/>
        <v>1625</v>
      </c>
    </row>
    <row r="33" spans="1:256" x14ac:dyDescent="0.2">
      <c r="B33" s="110" t="s">
        <v>702</v>
      </c>
      <c r="C33" s="173"/>
      <c r="D33" s="149"/>
      <c r="E33" s="149"/>
      <c r="F33" s="149">
        <v>5</v>
      </c>
      <c r="G33" s="149"/>
      <c r="H33" s="76">
        <v>464000</v>
      </c>
      <c r="J33" s="76">
        <f>H33/F33</f>
        <v>92800</v>
      </c>
      <c r="L33" s="76"/>
      <c r="M33" s="76">
        <v>12000</v>
      </c>
      <c r="N33" s="76">
        <v>10000</v>
      </c>
      <c r="O33" s="76">
        <v>9000</v>
      </c>
      <c r="Q33" s="76">
        <f t="shared" si="7"/>
        <v>0</v>
      </c>
      <c r="R33" s="76">
        <f t="shared" si="7"/>
        <v>2400</v>
      </c>
      <c r="S33" s="76">
        <f t="shared" si="7"/>
        <v>2000</v>
      </c>
      <c r="T33" s="76">
        <f t="shared" si="7"/>
        <v>1800</v>
      </c>
    </row>
    <row r="34" spans="1:256" x14ac:dyDescent="0.2">
      <c r="B34" s="110" t="s">
        <v>703</v>
      </c>
      <c r="C34" s="173"/>
      <c r="D34" s="149"/>
      <c r="E34" s="149"/>
      <c r="F34" s="210">
        <v>31</v>
      </c>
      <c r="G34" s="210"/>
      <c r="H34" s="79">
        <v>2970295</v>
      </c>
      <c r="I34" s="73"/>
      <c r="J34" s="74">
        <f>H34/F34</f>
        <v>95815.967741935485</v>
      </c>
      <c r="K34" s="73"/>
      <c r="L34" s="79"/>
      <c r="M34" s="79">
        <v>968500</v>
      </c>
      <c r="N34" s="79">
        <v>695450</v>
      </c>
      <c r="O34" s="79">
        <v>130750</v>
      </c>
      <c r="P34" s="73"/>
      <c r="Q34" s="79">
        <f t="shared" si="7"/>
        <v>0</v>
      </c>
      <c r="R34" s="79">
        <f t="shared" si="7"/>
        <v>31241.935483870966</v>
      </c>
      <c r="S34" s="79">
        <f t="shared" si="7"/>
        <v>22433.870967741936</v>
      </c>
      <c r="T34" s="79">
        <f t="shared" si="7"/>
        <v>4217.7419354838712</v>
      </c>
    </row>
    <row r="35" spans="1:256" x14ac:dyDescent="0.2">
      <c r="B35" s="618" t="s">
        <v>704</v>
      </c>
      <c r="C35" s="173"/>
      <c r="D35" s="149"/>
      <c r="E35" s="149"/>
      <c r="F35" s="149">
        <f>SUM(F31:F34)</f>
        <v>48</v>
      </c>
      <c r="G35" s="149"/>
      <c r="H35" s="65">
        <f>SUM(H30:H34)</f>
        <v>7622295</v>
      </c>
      <c r="J35" s="65">
        <f>H35/F35</f>
        <v>158797.8125</v>
      </c>
      <c r="L35" s="65">
        <f>(2775+7000)*1000</f>
        <v>9775000</v>
      </c>
      <c r="M35" s="65">
        <f>SUM(M30:M34)</f>
        <v>4117955</v>
      </c>
      <c r="N35" s="65">
        <f>SUM(N30:N34)</f>
        <v>1157882</v>
      </c>
      <c r="O35" s="65">
        <f>SUM(O30:O34)</f>
        <v>215067</v>
      </c>
      <c r="Q35" s="65">
        <f t="shared" si="7"/>
        <v>203645.83333333334</v>
      </c>
      <c r="R35" s="65">
        <f t="shared" si="7"/>
        <v>85790.729166666672</v>
      </c>
      <c r="S35" s="65">
        <f t="shared" si="7"/>
        <v>24122.541666666668</v>
      </c>
      <c r="T35" s="65">
        <f t="shared" si="7"/>
        <v>4480.5625</v>
      </c>
    </row>
    <row r="36" spans="1:256" x14ac:dyDescent="0.2">
      <c r="B36" s="618"/>
      <c r="C36" s="173"/>
      <c r="D36" s="149"/>
      <c r="E36" s="149"/>
      <c r="F36" s="149"/>
      <c r="G36" s="149"/>
      <c r="H36" s="65"/>
      <c r="J36" s="65"/>
      <c r="L36" s="65"/>
      <c r="M36" s="65"/>
      <c r="N36" s="65"/>
      <c r="O36" s="65"/>
      <c r="Q36" s="65"/>
      <c r="R36" s="65"/>
      <c r="S36" s="65"/>
      <c r="T36" s="65"/>
    </row>
    <row r="37" spans="1:256" s="272" customFormat="1" x14ac:dyDescent="0.2">
      <c r="A37"/>
      <c r="B37" t="s">
        <v>690</v>
      </c>
      <c r="C37" s="173"/>
      <c r="D37" s="149"/>
      <c r="E37" s="149"/>
      <c r="F37" s="149">
        <f>F28+F22+F16+F10+F35</f>
        <v>231</v>
      </c>
      <c r="G37" s="65"/>
      <c r="H37" s="627">
        <f>H28+H22+H16+H10+H35</f>
        <v>20173182</v>
      </c>
      <c r="I37" s="627"/>
      <c r="J37" s="627">
        <f>H37/F37</f>
        <v>87329.792207792212</v>
      </c>
      <c r="K37" s="627"/>
      <c r="L37" s="627">
        <f>L28+L22+L16+L10+L35</f>
        <v>25364000</v>
      </c>
      <c r="M37" s="627">
        <f>M28+M22+M16+M10+M35</f>
        <v>11152180</v>
      </c>
      <c r="N37" s="627">
        <f>N28+N22+N16+N10+N35</f>
        <v>3562518</v>
      </c>
      <c r="O37" s="627">
        <f>O28+O22+O16+O10+O35</f>
        <v>1696291</v>
      </c>
      <c r="P37" s="627"/>
      <c r="Q37" s="627">
        <f>L37/$F37</f>
        <v>109800.86580086579</v>
      </c>
      <c r="R37" s="627">
        <f>M37/$F37</f>
        <v>48277.835497835498</v>
      </c>
      <c r="S37" s="627">
        <f>N37/$F37</f>
        <v>15422.155844155845</v>
      </c>
      <c r="T37" s="627">
        <f>O37/$F37</f>
        <v>7343.2510822510822</v>
      </c>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x14ac:dyDescent="0.2">
      <c r="C38" s="173"/>
      <c r="D38" s="149"/>
      <c r="E38" s="149"/>
      <c r="F38" s="149"/>
      <c r="G38" s="149"/>
    </row>
  </sheetData>
  <pageMargins left="0.25" right="0.25" top="1" bottom="1" header="0.5" footer="0.5"/>
  <pageSetup scale="79" orientation="landscape" verticalDpi="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U30"/>
  <sheetViews>
    <sheetView workbookViewId="0">
      <selection activeCell="A30" sqref="A30"/>
    </sheetView>
  </sheetViews>
  <sheetFormatPr defaultRowHeight="12.75" x14ac:dyDescent="0.2"/>
  <cols>
    <col min="1" max="1" width="2.7109375" customWidth="1"/>
    <col min="2" max="2" width="10.7109375" customWidth="1"/>
    <col min="3" max="3" width="11.85546875" bestFit="1" customWidth="1"/>
    <col min="4" max="4" width="11.7109375" bestFit="1" customWidth="1"/>
  </cols>
  <sheetData>
    <row r="2" spans="2:125" ht="18" x14ac:dyDescent="0.25">
      <c r="B2" s="171" t="s">
        <v>149</v>
      </c>
    </row>
    <row r="4" spans="2:125" s="134" customFormat="1" ht="15.75" x14ac:dyDescent="0.25">
      <c r="B4" s="172" t="s">
        <v>304</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row>
    <row r="5" spans="2:125" x14ac:dyDescent="0.2">
      <c r="C5" s="149" t="s">
        <v>305</v>
      </c>
      <c r="D5" s="149" t="s">
        <v>306</v>
      </c>
      <c r="E5" s="149" t="s">
        <v>307</v>
      </c>
      <c r="F5" s="149" t="s">
        <v>308</v>
      </c>
      <c r="G5" s="149" t="s">
        <v>309</v>
      </c>
    </row>
    <row r="6" spans="2:125" x14ac:dyDescent="0.2">
      <c r="B6" t="s">
        <v>310</v>
      </c>
      <c r="C6" s="173">
        <v>0.28999999999999998</v>
      </c>
      <c r="D6" s="149">
        <v>12</v>
      </c>
      <c r="E6" s="149" t="s">
        <v>311</v>
      </c>
      <c r="F6" s="149" t="s">
        <v>312</v>
      </c>
      <c r="G6" s="149" t="s">
        <v>313</v>
      </c>
    </row>
    <row r="7" spans="2:125" x14ac:dyDescent="0.2">
      <c r="B7" t="s">
        <v>314</v>
      </c>
      <c r="C7" s="173">
        <v>0.12</v>
      </c>
      <c r="D7" s="149">
        <v>1</v>
      </c>
      <c r="E7" s="149" t="s">
        <v>315</v>
      </c>
      <c r="F7" s="149" t="s">
        <v>316</v>
      </c>
      <c r="G7" s="149" t="s">
        <v>315</v>
      </c>
    </row>
    <row r="8" spans="2:125" x14ac:dyDescent="0.2">
      <c r="B8" t="s">
        <v>317</v>
      </c>
      <c r="C8" s="173">
        <v>0.12</v>
      </c>
      <c r="D8" s="149">
        <v>11</v>
      </c>
      <c r="E8" s="149" t="s">
        <v>318</v>
      </c>
      <c r="F8" s="149" t="s">
        <v>319</v>
      </c>
      <c r="G8" s="149" t="s">
        <v>318</v>
      </c>
    </row>
    <row r="9" spans="2:125" x14ac:dyDescent="0.2">
      <c r="B9" t="s">
        <v>320</v>
      </c>
      <c r="C9" s="173">
        <v>0.05</v>
      </c>
      <c r="D9" s="149">
        <v>11</v>
      </c>
      <c r="E9" s="149" t="s">
        <v>311</v>
      </c>
      <c r="F9" s="149" t="s">
        <v>321</v>
      </c>
      <c r="G9" s="149" t="s">
        <v>311</v>
      </c>
    </row>
    <row r="10" spans="2:125" x14ac:dyDescent="0.2">
      <c r="B10" t="s">
        <v>322</v>
      </c>
      <c r="C10" s="173">
        <v>0.05</v>
      </c>
      <c r="D10" s="149">
        <v>1</v>
      </c>
      <c r="E10" s="149" t="s">
        <v>323</v>
      </c>
      <c r="F10" s="149" t="s">
        <v>324</v>
      </c>
      <c r="G10" s="149" t="s">
        <v>325</v>
      </c>
    </row>
    <row r="11" spans="2:125" x14ac:dyDescent="0.2">
      <c r="B11" t="s">
        <v>326</v>
      </c>
      <c r="C11" s="173">
        <v>0.03</v>
      </c>
      <c r="D11" s="149">
        <v>11</v>
      </c>
      <c r="E11" s="149" t="s">
        <v>318</v>
      </c>
      <c r="F11" s="149" t="s">
        <v>318</v>
      </c>
      <c r="G11" s="149" t="s">
        <v>318</v>
      </c>
    </row>
    <row r="12" spans="2:125" x14ac:dyDescent="0.2">
      <c r="B12" t="s">
        <v>327</v>
      </c>
      <c r="C12" s="173">
        <v>0.03</v>
      </c>
      <c r="D12" s="149">
        <v>11</v>
      </c>
      <c r="E12" s="149" t="s">
        <v>318</v>
      </c>
      <c r="F12" s="149" t="s">
        <v>318</v>
      </c>
      <c r="G12" s="149" t="s">
        <v>318</v>
      </c>
    </row>
    <row r="13" spans="2:125" x14ac:dyDescent="0.2">
      <c r="B13" t="s">
        <v>328</v>
      </c>
      <c r="C13" s="173">
        <v>0.02</v>
      </c>
      <c r="D13" s="149">
        <v>9</v>
      </c>
      <c r="E13" s="149" t="s">
        <v>329</v>
      </c>
      <c r="F13" s="149" t="s">
        <v>330</v>
      </c>
      <c r="G13" s="149" t="s">
        <v>329</v>
      </c>
    </row>
    <row r="14" spans="2:125" x14ac:dyDescent="0.2">
      <c r="B14" s="134" t="s">
        <v>331</v>
      </c>
      <c r="C14" s="174">
        <v>0.28999999999999998</v>
      </c>
      <c r="D14" s="144"/>
      <c r="E14" s="144"/>
      <c r="F14" s="144"/>
      <c r="G14" s="144"/>
    </row>
    <row r="15" spans="2:125" x14ac:dyDescent="0.2">
      <c r="B15" t="s">
        <v>237</v>
      </c>
      <c r="C15" s="173">
        <f>SUM(C6:C14)</f>
        <v>1.0000000000000002</v>
      </c>
      <c r="D15" s="149"/>
      <c r="E15" s="149"/>
      <c r="F15" s="149"/>
      <c r="G15" s="149"/>
    </row>
    <row r="17" spans="2:125" s="134" customFormat="1" ht="15.75" x14ac:dyDescent="0.25">
      <c r="B17" s="172" t="s">
        <v>332</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row>
    <row r="18" spans="2:125" x14ac:dyDescent="0.2">
      <c r="C18" t="s">
        <v>305</v>
      </c>
      <c r="D18" s="149" t="s">
        <v>306</v>
      </c>
      <c r="E18" s="149" t="s">
        <v>307</v>
      </c>
      <c r="F18" s="149" t="s">
        <v>308</v>
      </c>
      <c r="G18" s="149" t="s">
        <v>309</v>
      </c>
    </row>
    <row r="19" spans="2:125" x14ac:dyDescent="0.2">
      <c r="B19" t="s">
        <v>314</v>
      </c>
      <c r="C19" s="173">
        <v>0.16</v>
      </c>
      <c r="D19" s="149">
        <v>1</v>
      </c>
      <c r="E19" s="149" t="s">
        <v>315</v>
      </c>
      <c r="F19" s="149" t="s">
        <v>316</v>
      </c>
      <c r="G19" s="149" t="s">
        <v>315</v>
      </c>
    </row>
    <row r="20" spans="2:125" x14ac:dyDescent="0.2">
      <c r="B20" t="s">
        <v>333</v>
      </c>
      <c r="C20" s="173">
        <v>0.12</v>
      </c>
      <c r="D20" s="149">
        <v>7</v>
      </c>
      <c r="E20" s="149" t="s">
        <v>334</v>
      </c>
      <c r="F20" s="149" t="s">
        <v>335</v>
      </c>
      <c r="G20" s="149" t="s">
        <v>336</v>
      </c>
    </row>
    <row r="21" spans="2:125" x14ac:dyDescent="0.2">
      <c r="B21" t="s">
        <v>337</v>
      </c>
      <c r="C21" s="173">
        <v>0.12</v>
      </c>
      <c r="D21" s="149">
        <v>9</v>
      </c>
      <c r="E21" s="149" t="s">
        <v>338</v>
      </c>
      <c r="F21" s="149" t="s">
        <v>330</v>
      </c>
      <c r="G21" s="149" t="s">
        <v>329</v>
      </c>
    </row>
    <row r="22" spans="2:125" x14ac:dyDescent="0.2">
      <c r="B22" t="s">
        <v>339</v>
      </c>
      <c r="C22" s="173">
        <v>7.0000000000000007E-2</v>
      </c>
      <c r="D22" s="149">
        <v>8</v>
      </c>
      <c r="E22" s="149" t="s">
        <v>329</v>
      </c>
      <c r="F22" s="149" t="s">
        <v>330</v>
      </c>
      <c r="G22" s="149" t="s">
        <v>329</v>
      </c>
    </row>
    <row r="23" spans="2:125" x14ac:dyDescent="0.2">
      <c r="B23" t="s">
        <v>340</v>
      </c>
      <c r="C23" s="173">
        <v>7.0000000000000007E-2</v>
      </c>
      <c r="D23" s="149">
        <v>5</v>
      </c>
      <c r="E23" s="149" t="s">
        <v>341</v>
      </c>
      <c r="F23" s="149" t="s">
        <v>342</v>
      </c>
      <c r="G23" s="149" t="s">
        <v>343</v>
      </c>
    </row>
    <row r="24" spans="2:125" x14ac:dyDescent="0.2">
      <c r="B24" t="s">
        <v>344</v>
      </c>
      <c r="C24" s="173">
        <v>0.04</v>
      </c>
      <c r="D24" s="149">
        <v>2</v>
      </c>
      <c r="E24" s="149" t="s">
        <v>325</v>
      </c>
      <c r="F24" s="149" t="s">
        <v>345</v>
      </c>
      <c r="G24" s="149" t="s">
        <v>346</v>
      </c>
    </row>
    <row r="25" spans="2:125" x14ac:dyDescent="0.2">
      <c r="B25" t="s">
        <v>347</v>
      </c>
      <c r="C25" s="173">
        <v>0.03</v>
      </c>
      <c r="D25" s="149">
        <v>4</v>
      </c>
      <c r="E25" s="149" t="s">
        <v>336</v>
      </c>
      <c r="F25" s="149" t="s">
        <v>348</v>
      </c>
      <c r="G25" s="149" t="s">
        <v>336</v>
      </c>
    </row>
    <row r="26" spans="2:125" x14ac:dyDescent="0.2">
      <c r="B26" t="s">
        <v>349</v>
      </c>
      <c r="C26" s="173">
        <v>0.03</v>
      </c>
      <c r="D26" s="149">
        <v>8</v>
      </c>
      <c r="E26" s="149" t="s">
        <v>343</v>
      </c>
      <c r="F26" s="149" t="s">
        <v>350</v>
      </c>
      <c r="G26" s="149" t="s">
        <v>341</v>
      </c>
    </row>
    <row r="27" spans="2:125" x14ac:dyDescent="0.2">
      <c r="B27" t="s">
        <v>351</v>
      </c>
      <c r="C27" s="173">
        <v>0.03</v>
      </c>
      <c r="D27" s="149">
        <v>2</v>
      </c>
      <c r="E27" s="149" t="s">
        <v>323</v>
      </c>
      <c r="F27" s="149" t="s">
        <v>352</v>
      </c>
      <c r="G27" s="149" t="s">
        <v>323</v>
      </c>
    </row>
    <row r="28" spans="2:125" x14ac:dyDescent="0.2">
      <c r="B28" t="s">
        <v>353</v>
      </c>
      <c r="C28" s="173">
        <v>0.03</v>
      </c>
      <c r="D28" s="149">
        <v>10</v>
      </c>
      <c r="E28" s="149" t="s">
        <v>318</v>
      </c>
      <c r="F28" s="149" t="s">
        <v>330</v>
      </c>
      <c r="G28" s="149" t="s">
        <v>318</v>
      </c>
    </row>
    <row r="29" spans="2:125" x14ac:dyDescent="0.2">
      <c r="B29" s="134" t="s">
        <v>331</v>
      </c>
      <c r="C29" s="174">
        <v>0.3</v>
      </c>
      <c r="D29" s="144"/>
      <c r="E29" s="144"/>
      <c r="F29" s="144"/>
      <c r="G29" s="144"/>
    </row>
    <row r="30" spans="2:125" x14ac:dyDescent="0.2">
      <c r="B30" t="s">
        <v>237</v>
      </c>
      <c r="C30" s="173">
        <f>SUM(C19:C29)</f>
        <v>1.0000000000000002</v>
      </c>
      <c r="D30" s="149"/>
      <c r="E30" s="149"/>
      <c r="F30" s="149"/>
      <c r="G30" s="149"/>
    </row>
  </sheetData>
  <pageMargins left="0.25" right="0.25" top="1" bottom="0.5" header="0.5" footer="0.5"/>
  <pageSetup orientation="landscape" verticalDpi="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zoomScale="75" zoomScaleNormal="75" workbookViewId="0">
      <selection activeCell="A30" sqref="A30"/>
    </sheetView>
  </sheetViews>
  <sheetFormatPr defaultRowHeight="12.75" x14ac:dyDescent="0.2"/>
  <cols>
    <col min="1" max="2" width="9.140625" style="1"/>
    <col min="3" max="3" width="29" style="1" customWidth="1"/>
    <col min="4" max="5" width="12.7109375" style="1" customWidth="1"/>
    <col min="6" max="6" width="11.42578125" style="1" customWidth="1"/>
    <col min="7" max="7" width="4.5703125" style="1" bestFit="1" customWidth="1"/>
    <col min="8" max="12" width="9.140625" style="1"/>
    <col min="13" max="13" width="12" style="1" bestFit="1" customWidth="1"/>
    <col min="14" max="16384" width="9.140625" style="1"/>
  </cols>
  <sheetData>
    <row r="1" spans="3:13" ht="15.75" x14ac:dyDescent="0.25">
      <c r="F1" s="7" t="s">
        <v>368</v>
      </c>
    </row>
    <row r="2" spans="3:13" ht="15.75" x14ac:dyDescent="0.25">
      <c r="F2" s="7"/>
    </row>
    <row r="3" spans="3:13" x14ac:dyDescent="0.2">
      <c r="C3" s="26" t="s">
        <v>459</v>
      </c>
      <c r="I3" s="25"/>
      <c r="J3" s="26" t="s">
        <v>457</v>
      </c>
    </row>
    <row r="4" spans="3:13" x14ac:dyDescent="0.2">
      <c r="C4" s="1" t="s">
        <v>111</v>
      </c>
      <c r="D4" s="27">
        <v>8</v>
      </c>
      <c r="E4" s="28">
        <v>9</v>
      </c>
      <c r="I4" s="25"/>
      <c r="J4" s="25" t="s">
        <v>287</v>
      </c>
      <c r="M4" s="23">
        <f>+D8</f>
        <v>26697</v>
      </c>
    </row>
    <row r="5" spans="3:13" x14ac:dyDescent="0.2">
      <c r="C5" s="1" t="s">
        <v>460</v>
      </c>
      <c r="D5" s="4">
        <f ca="1">+'Valuation - DCF'!L32*2</f>
        <v>33528.709333333332</v>
      </c>
      <c r="E5" s="4">
        <f ca="1">+D5</f>
        <v>33528.709333333332</v>
      </c>
      <c r="I5" s="33">
        <v>0.95</v>
      </c>
      <c r="J5" s="25" t="s">
        <v>289</v>
      </c>
      <c r="M5" s="23">
        <f>F26</f>
        <v>352903.14999999997</v>
      </c>
    </row>
    <row r="6" spans="3:13" x14ac:dyDescent="0.2">
      <c r="C6" s="34" t="s">
        <v>110</v>
      </c>
      <c r="D6" s="35">
        <f ca="1">+D4*D5</f>
        <v>268229.67466666666</v>
      </c>
      <c r="E6" s="35">
        <f ca="1">+E4*E5</f>
        <v>301758.38399999996</v>
      </c>
      <c r="I6" s="33">
        <v>0.9</v>
      </c>
      <c r="J6" s="25" t="s">
        <v>290</v>
      </c>
      <c r="M6" s="23">
        <f>F27</f>
        <v>140767.20000000001</v>
      </c>
    </row>
    <row r="7" spans="3:13" x14ac:dyDescent="0.2">
      <c r="C7" s="1" t="s">
        <v>113</v>
      </c>
      <c r="D7" s="4">
        <f>+'Balance Sheet'!F27+'Balance Sheet'!F33</f>
        <v>180400</v>
      </c>
      <c r="E7" s="4">
        <f>+D7</f>
        <v>180400</v>
      </c>
      <c r="I7" s="33">
        <v>0.9</v>
      </c>
      <c r="J7" s="25" t="s">
        <v>291</v>
      </c>
      <c r="M7" s="165">
        <f>F28</f>
        <v>2949.3</v>
      </c>
    </row>
    <row r="8" spans="3:13" x14ac:dyDescent="0.2">
      <c r="C8" s="1" t="s">
        <v>118</v>
      </c>
      <c r="D8" s="215">
        <f>IF('S &amp; U'!$U$31=0,0,'Balance Sheet'!F10+'Balance Sheet'!F11)</f>
        <v>26697</v>
      </c>
      <c r="E8" s="4">
        <f>+D8</f>
        <v>26697</v>
      </c>
      <c r="I8" s="25"/>
      <c r="J8" s="25" t="s">
        <v>293</v>
      </c>
      <c r="M8" s="23">
        <f>F29</f>
        <v>523316.64999999997</v>
      </c>
    </row>
    <row r="9" spans="3:13" x14ac:dyDescent="0.2">
      <c r="C9" s="31" t="s">
        <v>114</v>
      </c>
      <c r="D9" s="32">
        <f ca="1">+D6-D7+D8</f>
        <v>114526.67466666666</v>
      </c>
      <c r="E9" s="32">
        <f ca="1">+E6-E7+E8</f>
        <v>148055.38399999996</v>
      </c>
      <c r="I9" s="25"/>
      <c r="J9" s="25"/>
      <c r="M9" s="23"/>
    </row>
    <row r="10" spans="3:13" x14ac:dyDescent="0.2">
      <c r="I10" s="25"/>
      <c r="J10" s="1" t="s">
        <v>456</v>
      </c>
      <c r="M10" s="4">
        <f>+AVERAGE(Segments!N6)</f>
        <v>6191</v>
      </c>
    </row>
    <row r="11" spans="3:13" x14ac:dyDescent="0.2">
      <c r="C11" s="26" t="s">
        <v>121</v>
      </c>
      <c r="D11" s="29">
        <v>0.7</v>
      </c>
      <c r="E11" s="30">
        <v>0.9</v>
      </c>
      <c r="I11" s="25"/>
      <c r="J11" s="1" t="s">
        <v>112</v>
      </c>
      <c r="M11" s="164">
        <v>7</v>
      </c>
    </row>
    <row r="12" spans="3:13" x14ac:dyDescent="0.2">
      <c r="C12" s="53" t="s">
        <v>461</v>
      </c>
      <c r="D12" s="160">
        <f>+'Balance Sheet'!F37</f>
        <v>122925</v>
      </c>
      <c r="E12" s="160">
        <f>D12</f>
        <v>122925</v>
      </c>
      <c r="I12" s="25"/>
      <c r="J12" s="1" t="s">
        <v>297</v>
      </c>
      <c r="M12" s="4">
        <f>+M10*M11</f>
        <v>43337</v>
      </c>
    </row>
    <row r="13" spans="3:13" x14ac:dyDescent="0.2">
      <c r="C13" s="53" t="s">
        <v>288</v>
      </c>
      <c r="D13" s="160">
        <f>+D11*D12</f>
        <v>86047.5</v>
      </c>
      <c r="E13" s="160">
        <f>+E11*E12</f>
        <v>110632.5</v>
      </c>
      <c r="I13" s="25"/>
      <c r="J13" s="1" t="s">
        <v>299</v>
      </c>
      <c r="M13" s="165">
        <v>20000</v>
      </c>
    </row>
    <row r="14" spans="3:13" x14ac:dyDescent="0.2">
      <c r="C14" s="31" t="s">
        <v>114</v>
      </c>
      <c r="D14" s="130">
        <f>+D13</f>
        <v>86047.5</v>
      </c>
      <c r="E14" s="130">
        <f>+E13</f>
        <v>110632.5</v>
      </c>
      <c r="I14" s="25"/>
      <c r="J14" s="1" t="s">
        <v>298</v>
      </c>
      <c r="M14" s="23">
        <f>M13+M12</f>
        <v>63337</v>
      </c>
    </row>
    <row r="15" spans="3:13" x14ac:dyDescent="0.2">
      <c r="C15" s="1" t="s">
        <v>115</v>
      </c>
      <c r="D15" s="18">
        <f>+D7</f>
        <v>180400</v>
      </c>
      <c r="E15" s="18">
        <f>+E7</f>
        <v>180400</v>
      </c>
      <c r="I15" s="33">
        <v>0.75</v>
      </c>
      <c r="J15" s="1" t="s">
        <v>253</v>
      </c>
      <c r="M15" s="165">
        <f>(1534.14+4826.45)*I15</f>
        <v>4770.4425000000001</v>
      </c>
    </row>
    <row r="16" spans="3:13" x14ac:dyDescent="0.2">
      <c r="C16" s="34" t="s">
        <v>110</v>
      </c>
      <c r="D16" s="161">
        <f>D14+D15</f>
        <v>266447.5</v>
      </c>
      <c r="E16" s="161">
        <f>E14+E15</f>
        <v>291032.5</v>
      </c>
      <c r="I16" s="163"/>
      <c r="J16" s="25" t="s">
        <v>301</v>
      </c>
      <c r="M16" s="23">
        <f>M14+M15</f>
        <v>68107.442500000005</v>
      </c>
    </row>
    <row r="17" spans="2:15" x14ac:dyDescent="0.2">
      <c r="I17" s="163"/>
      <c r="M17" s="23"/>
    </row>
    <row r="18" spans="2:15" x14ac:dyDescent="0.2">
      <c r="C18" s="26" t="s">
        <v>462</v>
      </c>
      <c r="H18" s="25"/>
      <c r="I18" s="25"/>
      <c r="J18" s="25" t="s">
        <v>120</v>
      </c>
      <c r="K18" s="25"/>
      <c r="L18" s="25"/>
      <c r="M18" s="23">
        <f>M8+M16</f>
        <v>591424.09250000003</v>
      </c>
      <c r="N18" s="25"/>
      <c r="O18" s="25"/>
    </row>
    <row r="19" spans="2:15" x14ac:dyDescent="0.2">
      <c r="C19" s="1" t="s">
        <v>110</v>
      </c>
      <c r="D19" s="4">
        <f ca="1">+'Valuation - DCF'!E56</f>
        <v>466195.40783560427</v>
      </c>
      <c r="H19" s="25"/>
      <c r="I19" s="25"/>
      <c r="J19" s="25" t="s">
        <v>294</v>
      </c>
      <c r="M19" s="165">
        <f>F32</f>
        <v>460945</v>
      </c>
      <c r="N19" s="25"/>
      <c r="O19" s="25"/>
    </row>
    <row r="20" spans="2:15" x14ac:dyDescent="0.2">
      <c r="C20" s="1" t="s">
        <v>113</v>
      </c>
      <c r="D20" s="18">
        <f>D15</f>
        <v>180400</v>
      </c>
      <c r="H20" s="25"/>
      <c r="I20" s="25"/>
      <c r="J20" s="182" t="s">
        <v>119</v>
      </c>
      <c r="K20" s="31"/>
      <c r="L20" s="31"/>
      <c r="M20" s="183">
        <f>+M18-M19</f>
        <v>130479.09250000003</v>
      </c>
      <c r="N20" s="25"/>
      <c r="O20" s="25"/>
    </row>
    <row r="21" spans="2:15" x14ac:dyDescent="0.2">
      <c r="C21" s="1" t="s">
        <v>118</v>
      </c>
      <c r="D21" s="18">
        <f>+D8</f>
        <v>26697</v>
      </c>
      <c r="H21" s="25"/>
      <c r="I21" s="25"/>
      <c r="J21" s="25"/>
      <c r="K21" s="25"/>
      <c r="L21" s="25"/>
      <c r="M21" s="25"/>
      <c r="N21" s="25"/>
      <c r="O21" s="25"/>
    </row>
    <row r="22" spans="2:15" x14ac:dyDescent="0.2">
      <c r="C22" s="31" t="s">
        <v>119</v>
      </c>
      <c r="D22" s="32">
        <f ca="1">+D19-D20+D21</f>
        <v>312492.40783560427</v>
      </c>
      <c r="H22" s="25"/>
      <c r="J22" s="26" t="s">
        <v>458</v>
      </c>
      <c r="N22" s="25"/>
      <c r="O22" s="25"/>
    </row>
    <row r="23" spans="2:15" x14ac:dyDescent="0.2">
      <c r="H23" s="25"/>
      <c r="J23" s="1" t="s">
        <v>422</v>
      </c>
      <c r="M23" s="4">
        <f>Segments!P6</f>
        <v>9364</v>
      </c>
      <c r="N23" s="25"/>
      <c r="O23" s="25"/>
    </row>
    <row r="24" spans="2:15" x14ac:dyDescent="0.2">
      <c r="B24" s="25"/>
      <c r="C24" s="201" t="s">
        <v>295</v>
      </c>
      <c r="D24" s="25"/>
      <c r="E24" s="25"/>
      <c r="F24" s="25"/>
      <c r="H24" s="25"/>
      <c r="J24" s="1" t="s">
        <v>112</v>
      </c>
      <c r="M24" s="164">
        <v>7.5</v>
      </c>
      <c r="N24" s="25"/>
      <c r="O24" s="25"/>
    </row>
    <row r="25" spans="2:15" x14ac:dyDescent="0.2">
      <c r="B25" s="25"/>
      <c r="C25" s="25" t="s">
        <v>287</v>
      </c>
      <c r="D25" s="25"/>
      <c r="E25" s="25"/>
      <c r="F25" s="23">
        <f>+D8</f>
        <v>26697</v>
      </c>
      <c r="H25" s="25"/>
      <c r="J25" s="1" t="s">
        <v>298</v>
      </c>
      <c r="M25" s="4">
        <f>+M23*M24</f>
        <v>70230</v>
      </c>
      <c r="N25" s="25"/>
      <c r="O25" s="25"/>
    </row>
    <row r="26" spans="2:15" x14ac:dyDescent="0.2">
      <c r="B26" s="33">
        <v>0.95</v>
      </c>
      <c r="C26" s="25" t="s">
        <v>289</v>
      </c>
      <c r="D26" s="25"/>
      <c r="E26" s="25"/>
      <c r="F26" s="23">
        <f>+'Balance Sheet'!F13*Value!$B$26</f>
        <v>352903.14999999997</v>
      </c>
      <c r="H26" s="25"/>
      <c r="J26" s="1" t="s">
        <v>253</v>
      </c>
      <c r="M26" s="165">
        <f>(1534.14+4826.45)*I15</f>
        <v>4770.4425000000001</v>
      </c>
      <c r="N26" s="25"/>
      <c r="O26" s="25"/>
    </row>
    <row r="27" spans="2:15" x14ac:dyDescent="0.2">
      <c r="B27" s="33">
        <v>0.9</v>
      </c>
      <c r="C27" s="25" t="s">
        <v>290</v>
      </c>
      <c r="D27" s="25"/>
      <c r="E27" s="25"/>
      <c r="F27" s="23">
        <f>+'Balance Sheet'!F14*Value!$B$27</f>
        <v>140767.20000000001</v>
      </c>
      <c r="H27" s="25"/>
      <c r="J27" s="25" t="s">
        <v>301</v>
      </c>
      <c r="M27" s="23">
        <f>M25+M26</f>
        <v>75000.442500000005</v>
      </c>
      <c r="N27" s="25"/>
      <c r="O27" s="25"/>
    </row>
    <row r="28" spans="2:15" x14ac:dyDescent="0.2">
      <c r="B28" s="33">
        <v>0.9</v>
      </c>
      <c r="C28" s="25" t="s">
        <v>291</v>
      </c>
      <c r="D28" s="25"/>
      <c r="E28" s="25"/>
      <c r="F28" s="165">
        <f>+'Balance Sheet'!F15*Value!$B$28</f>
        <v>2949.3</v>
      </c>
      <c r="H28" s="25"/>
      <c r="O28" s="25"/>
    </row>
    <row r="29" spans="2:15" x14ac:dyDescent="0.2">
      <c r="B29" s="25"/>
      <c r="C29" s="25" t="s">
        <v>293</v>
      </c>
      <c r="D29" s="25"/>
      <c r="E29" s="25"/>
      <c r="F29" s="23">
        <f>SUM(F25:F28)</f>
        <v>523316.64999999997</v>
      </c>
      <c r="H29" s="25"/>
      <c r="J29" s="25" t="s">
        <v>423</v>
      </c>
      <c r="K29" s="25"/>
      <c r="L29" s="25"/>
      <c r="M29" s="23">
        <f>'Balance Sheet'!F10+'Balance Sheet'!F11</f>
        <v>26697</v>
      </c>
      <c r="N29" s="25"/>
      <c r="O29" s="25"/>
    </row>
    <row r="30" spans="2:15" x14ac:dyDescent="0.2">
      <c r="B30" s="25"/>
      <c r="C30" s="25" t="s">
        <v>296</v>
      </c>
      <c r="D30" s="25"/>
      <c r="E30" s="25"/>
      <c r="F30" s="165">
        <f>+'Balance Sheet'!F20+'Balance Sheet'!F18</f>
        <v>33122</v>
      </c>
      <c r="J30" s="25" t="s">
        <v>289</v>
      </c>
      <c r="K30" s="25"/>
      <c r="L30" s="25"/>
      <c r="M30" s="23">
        <f>+'Balance Sheet'!F13*Value!B26</f>
        <v>352903.14999999997</v>
      </c>
      <c r="O30" s="25"/>
    </row>
    <row r="31" spans="2:15" x14ac:dyDescent="0.2">
      <c r="B31" s="25"/>
      <c r="C31" s="25" t="s">
        <v>292</v>
      </c>
      <c r="D31" s="25"/>
      <c r="E31" s="25"/>
      <c r="F31" s="23">
        <f>+F29+F30</f>
        <v>556438.64999999991</v>
      </c>
      <c r="J31" s="25" t="s">
        <v>290</v>
      </c>
      <c r="K31" s="25"/>
      <c r="L31" s="25"/>
      <c r="M31" s="23">
        <f>+'Balance Sheet'!F14*Value!$B$27</f>
        <v>140767.20000000001</v>
      </c>
    </row>
    <row r="32" spans="2:15" x14ac:dyDescent="0.2">
      <c r="B32" s="25"/>
      <c r="C32" s="25" t="s">
        <v>294</v>
      </c>
      <c r="D32" s="25"/>
      <c r="E32" s="25"/>
      <c r="F32" s="165">
        <f>+'Balance Sheet'!F31+'Balance Sheet'!F33</f>
        <v>460945</v>
      </c>
      <c r="J32" s="25" t="s">
        <v>291</v>
      </c>
      <c r="K32" s="25"/>
      <c r="L32" s="25"/>
      <c r="M32" s="165">
        <f>+'Balance Sheet'!F15*Value!$B$28</f>
        <v>2949.3</v>
      </c>
    </row>
    <row r="33" spans="2:13" x14ac:dyDescent="0.2">
      <c r="B33" s="25"/>
      <c r="C33" s="182" t="s">
        <v>119</v>
      </c>
      <c r="D33" s="182"/>
      <c r="E33" s="182"/>
      <c r="F33" s="183">
        <f>+F31-F32</f>
        <v>95493.649999999907</v>
      </c>
      <c r="J33" s="1" t="s">
        <v>424</v>
      </c>
      <c r="M33" s="18">
        <f>SUM(M27:M32)</f>
        <v>598317.09250000003</v>
      </c>
    </row>
    <row r="35" spans="2:13" x14ac:dyDescent="0.2">
      <c r="J35" s="25" t="s">
        <v>294</v>
      </c>
      <c r="K35" s="25"/>
      <c r="L35" s="25"/>
      <c r="M35" s="165">
        <f>+'Balance Sheet'!F31+'Balance Sheet'!F33</f>
        <v>460945</v>
      </c>
    </row>
    <row r="36" spans="2:13" x14ac:dyDescent="0.2">
      <c r="J36" s="182" t="s">
        <v>119</v>
      </c>
      <c r="K36" s="182"/>
      <c r="L36" s="182"/>
      <c r="M36" s="183">
        <f>+M33-M35</f>
        <v>137372.09250000003</v>
      </c>
    </row>
    <row r="37" spans="2:13" x14ac:dyDescent="0.2">
      <c r="J37" s="56"/>
      <c r="K37" s="56"/>
      <c r="L37" s="56"/>
      <c r="M37" s="47"/>
    </row>
    <row r="38" spans="2:13" x14ac:dyDescent="0.2">
      <c r="J38" s="25" t="s">
        <v>426</v>
      </c>
      <c r="M38" s="18">
        <v>-240000</v>
      </c>
    </row>
    <row r="39" spans="2:13" x14ac:dyDescent="0.2">
      <c r="J39" s="182" t="s">
        <v>425</v>
      </c>
      <c r="K39" s="182"/>
      <c r="L39" s="182"/>
      <c r="M39" s="183">
        <f>-M36-M38</f>
        <v>102627.90749999997</v>
      </c>
    </row>
  </sheetData>
  <pageMargins left="0.25" right="0.25" top="1" bottom="0.5" header="0.5" footer="0.5"/>
  <pageSetup scale="91" orientation="landscape" verticalDpi="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54"/>
  <sheetViews>
    <sheetView showGridLines="0" zoomScale="65" workbookViewId="0">
      <selection activeCell="A30" sqref="A30"/>
    </sheetView>
  </sheetViews>
  <sheetFormatPr defaultRowHeight="12.75" x14ac:dyDescent="0.2"/>
  <cols>
    <col min="4" max="4" width="6.140625" customWidth="1"/>
    <col min="5" max="5" width="9.5703125" bestFit="1" customWidth="1"/>
    <col min="6" max="9" width="10.28515625" customWidth="1"/>
    <col min="10" max="10" width="5.140625" customWidth="1"/>
    <col min="11" max="11" width="1.7109375" customWidth="1"/>
    <col min="12" max="12" width="10.7109375" bestFit="1" customWidth="1"/>
    <col min="13" max="13" width="11" bestFit="1" customWidth="1"/>
    <col min="14" max="15" width="11.28515625" customWidth="1"/>
    <col min="16" max="16" width="10" bestFit="1" customWidth="1"/>
    <col min="17" max="17" width="5" customWidth="1"/>
    <col min="18" max="18" width="10.140625" customWidth="1"/>
    <col min="19" max="19" width="8.28515625" bestFit="1" customWidth="1"/>
    <col min="20" max="20" width="10" bestFit="1" customWidth="1"/>
    <col min="21" max="21" width="9.7109375" customWidth="1"/>
    <col min="22" max="22" width="9.5703125" customWidth="1"/>
    <col min="23" max="23" width="10" customWidth="1"/>
  </cols>
  <sheetData>
    <row r="1" spans="1:22" s="80" customFormat="1" ht="15.75" x14ac:dyDescent="0.25">
      <c r="A1" s="181" t="s">
        <v>366</v>
      </c>
      <c r="B1"/>
      <c r="C1"/>
      <c r="D1"/>
      <c r="E1" s="192" t="s">
        <v>224</v>
      </c>
      <c r="F1" s="192"/>
      <c r="G1" s="193"/>
      <c r="H1" s="193"/>
      <c r="I1" s="193"/>
      <c r="J1" s="194"/>
      <c r="L1" s="192" t="s">
        <v>226</v>
      </c>
      <c r="M1" s="192"/>
      <c r="N1" s="192"/>
      <c r="O1" s="192"/>
      <c r="P1" s="192"/>
      <c r="Q1" s="195"/>
      <c r="R1" s="192" t="s">
        <v>225</v>
      </c>
      <c r="S1" s="192"/>
      <c r="T1" s="192"/>
      <c r="U1" s="192"/>
      <c r="V1" s="192"/>
    </row>
    <row r="2" spans="1:22" x14ac:dyDescent="0.2">
      <c r="E2" s="68">
        <v>1997</v>
      </c>
      <c r="F2" s="121">
        <v>1998</v>
      </c>
      <c r="G2" s="69">
        <v>1999</v>
      </c>
      <c r="H2" s="69">
        <v>2000</v>
      </c>
      <c r="I2" s="120">
        <v>2001</v>
      </c>
      <c r="J2" s="110"/>
      <c r="L2" s="68">
        <v>1997</v>
      </c>
      <c r="M2" s="121">
        <f>+F2</f>
        <v>1998</v>
      </c>
      <c r="N2" s="121">
        <f>+G2</f>
        <v>1999</v>
      </c>
      <c r="O2" s="121">
        <f>+H2</f>
        <v>2000</v>
      </c>
      <c r="P2" s="226">
        <f>+I2</f>
        <v>2001</v>
      </c>
      <c r="Q2" s="110"/>
      <c r="R2" s="68">
        <v>1997</v>
      </c>
      <c r="S2" s="121">
        <v>1998</v>
      </c>
      <c r="T2" s="69">
        <v>1999</v>
      </c>
      <c r="U2" s="69">
        <v>2000</v>
      </c>
      <c r="V2" s="120">
        <v>2001</v>
      </c>
    </row>
    <row r="3" spans="1:22" x14ac:dyDescent="0.2">
      <c r="F3" s="115"/>
      <c r="I3" s="113"/>
      <c r="M3" s="115"/>
      <c r="P3" s="227"/>
      <c r="S3" s="115"/>
      <c r="V3" s="113"/>
    </row>
    <row r="4" spans="1:22" x14ac:dyDescent="0.2">
      <c r="A4" t="s">
        <v>150</v>
      </c>
      <c r="E4" s="76">
        <v>1743</v>
      </c>
      <c r="F4" s="116">
        <v>1834</v>
      </c>
      <c r="G4" s="76">
        <v>1608</v>
      </c>
      <c r="H4" s="76">
        <v>62</v>
      </c>
      <c r="I4" s="111">
        <v>0</v>
      </c>
      <c r="J4" s="76"/>
      <c r="L4" s="122">
        <v>-10881</v>
      </c>
      <c r="M4" s="122">
        <v>4890</v>
      </c>
      <c r="N4" s="65">
        <v>576</v>
      </c>
      <c r="O4" s="65">
        <v>703</v>
      </c>
      <c r="P4" s="228" t="s">
        <v>238</v>
      </c>
      <c r="Q4" s="65"/>
      <c r="R4" s="184">
        <f t="shared" ref="R4:R10" si="0">+L4/$L$12</f>
        <v>-0.2915204286671132</v>
      </c>
      <c r="S4" s="185">
        <f t="shared" ref="S4:S10" si="1">+M4/$M$12</f>
        <v>0.10561783191861596</v>
      </c>
      <c r="T4" s="184">
        <f t="shared" ref="T4:T10" si="2">+N4/$N$12</f>
        <v>9.3113482056256056E-3</v>
      </c>
      <c r="U4" s="184">
        <f t="shared" ref="U4:U10" si="3">+O4/$O$12</f>
        <v>7.4304256376108487E-3</v>
      </c>
      <c r="V4" s="186" t="str">
        <f>+P4</f>
        <v>N/A</v>
      </c>
    </row>
    <row r="5" spans="1:22" x14ac:dyDescent="0.2">
      <c r="A5" t="s">
        <v>151</v>
      </c>
      <c r="E5" s="76">
        <v>767</v>
      </c>
      <c r="F5" s="117">
        <v>1022</v>
      </c>
      <c r="G5" s="76">
        <v>1421</v>
      </c>
      <c r="H5" s="76">
        <v>1255</v>
      </c>
      <c r="I5" s="111">
        <v>1300</v>
      </c>
      <c r="J5" s="76"/>
      <c r="L5" s="122">
        <v>2098</v>
      </c>
      <c r="M5" s="123">
        <v>2862</v>
      </c>
      <c r="N5" s="65">
        <v>5444</v>
      </c>
      <c r="O5" s="65">
        <v>8922</v>
      </c>
      <c r="P5" s="229">
        <v>9000</v>
      </c>
      <c r="Q5" s="65"/>
      <c r="R5" s="184">
        <f t="shared" si="0"/>
        <v>5.6208975217682519E-2</v>
      </c>
      <c r="S5" s="185">
        <f t="shared" si="1"/>
        <v>6.1815589969545781E-2</v>
      </c>
      <c r="T5" s="184">
        <f t="shared" si="2"/>
        <v>8.8005172971225343E-2</v>
      </c>
      <c r="U5" s="184">
        <f t="shared" si="3"/>
        <v>9.4301931065098141E-2</v>
      </c>
      <c r="V5" s="186">
        <f t="shared" ref="V5:V10" si="4">+P5/$P$12</f>
        <v>7.8348756431127084E-2</v>
      </c>
    </row>
    <row r="6" spans="1:22" x14ac:dyDescent="0.2">
      <c r="A6" t="s">
        <v>152</v>
      </c>
      <c r="E6" s="76">
        <v>264</v>
      </c>
      <c r="F6" s="117">
        <v>260</v>
      </c>
      <c r="G6" s="76">
        <v>239</v>
      </c>
      <c r="H6" s="76">
        <v>412</v>
      </c>
      <c r="I6" s="111">
        <v>374</v>
      </c>
      <c r="J6" s="76"/>
      <c r="L6" s="122">
        <v>6958</v>
      </c>
      <c r="M6" s="123">
        <v>5909</v>
      </c>
      <c r="N6" s="65">
        <v>6191</v>
      </c>
      <c r="O6" s="65">
        <v>7508</v>
      </c>
      <c r="P6" s="229">
        <v>9364</v>
      </c>
      <c r="Q6" s="65"/>
      <c r="R6" s="184">
        <f t="shared" si="0"/>
        <v>0.18641661085063629</v>
      </c>
      <c r="S6" s="185">
        <f t="shared" si="1"/>
        <v>0.12762694658631935</v>
      </c>
      <c r="T6" s="184">
        <f t="shared" si="2"/>
        <v>0.10008082767539606</v>
      </c>
      <c r="U6" s="184">
        <f t="shared" si="3"/>
        <v>7.9356523025863795E-2</v>
      </c>
      <c r="V6" s="186">
        <f t="shared" si="4"/>
        <v>8.151752835789712E-2</v>
      </c>
    </row>
    <row r="7" spans="1:22" x14ac:dyDescent="0.2">
      <c r="A7" t="s">
        <v>228</v>
      </c>
      <c r="E7" s="76">
        <v>1249</v>
      </c>
      <c r="F7" s="117">
        <v>1282</v>
      </c>
      <c r="G7" s="76">
        <v>1623</v>
      </c>
      <c r="H7" s="76">
        <v>2267</v>
      </c>
      <c r="I7" s="111">
        <v>2436</v>
      </c>
      <c r="J7" s="76"/>
      <c r="L7" s="122">
        <v>3488</v>
      </c>
      <c r="M7" s="123">
        <v>3752</v>
      </c>
      <c r="N7" s="65">
        <v>3242</v>
      </c>
      <c r="O7" s="65">
        <v>10300</v>
      </c>
      <c r="P7" s="229">
        <v>11150</v>
      </c>
      <c r="Q7" s="65"/>
      <c r="R7" s="184">
        <f t="shared" si="0"/>
        <v>9.3449430676490294E-2</v>
      </c>
      <c r="S7" s="185">
        <f t="shared" si="1"/>
        <v>8.103846735350656E-2</v>
      </c>
      <c r="T7" s="184">
        <f t="shared" si="2"/>
        <v>5.2408664726802459E-2</v>
      </c>
      <c r="U7" s="184">
        <f t="shared" si="3"/>
        <v>0.10886683366627559</v>
      </c>
      <c r="V7" s="186">
        <f t="shared" si="4"/>
        <v>9.7065403800785224E-2</v>
      </c>
    </row>
    <row r="8" spans="1:22" x14ac:dyDescent="0.2">
      <c r="A8" t="s">
        <v>227</v>
      </c>
      <c r="E8" s="76">
        <f>6486-E7</f>
        <v>5237</v>
      </c>
      <c r="F8" s="117">
        <v>4422</v>
      </c>
      <c r="G8" s="76">
        <v>6451</v>
      </c>
      <c r="H8" s="76">
        <v>9380</v>
      </c>
      <c r="I8" s="111">
        <v>11121</v>
      </c>
      <c r="J8" s="76"/>
      <c r="L8" s="122">
        <f>24960-3488</f>
        <v>21472</v>
      </c>
      <c r="M8" s="123">
        <v>19597</v>
      </c>
      <c r="N8" s="65">
        <v>25469</v>
      </c>
      <c r="O8" s="65">
        <v>41461</v>
      </c>
      <c r="P8" s="229">
        <v>55605</v>
      </c>
      <c r="Q8" s="65"/>
      <c r="R8" s="184">
        <f t="shared" si="0"/>
        <v>0.57527126590756861</v>
      </c>
      <c r="S8" s="185">
        <f t="shared" si="1"/>
        <v>0.42327048100390935</v>
      </c>
      <c r="T8" s="184">
        <f t="shared" si="2"/>
        <v>0.41172001293242805</v>
      </c>
      <c r="U8" s="184">
        <f t="shared" si="3"/>
        <v>0.43822599909101478</v>
      </c>
      <c r="V8" s="186">
        <f t="shared" si="4"/>
        <v>0.48406473348364687</v>
      </c>
    </row>
    <row r="9" spans="1:22" x14ac:dyDescent="0.2">
      <c r="A9" t="s">
        <v>229</v>
      </c>
      <c r="E9" s="76">
        <v>2112</v>
      </c>
      <c r="F9" s="117">
        <v>3510</v>
      </c>
      <c r="G9" s="76">
        <v>2890</v>
      </c>
      <c r="H9" s="76">
        <v>3841</v>
      </c>
      <c r="I9" s="111">
        <v>4000</v>
      </c>
      <c r="J9" s="76"/>
      <c r="L9" s="122">
        <v>5945</v>
      </c>
      <c r="M9" s="123">
        <v>3158</v>
      </c>
      <c r="N9" s="65">
        <v>13391</v>
      </c>
      <c r="O9" s="65">
        <v>11615</v>
      </c>
      <c r="P9" s="229">
        <v>14000</v>
      </c>
      <c r="Q9" s="65"/>
      <c r="R9" s="184">
        <f t="shared" si="0"/>
        <v>0.15927662424648359</v>
      </c>
      <c r="S9" s="185">
        <f t="shared" si="1"/>
        <v>6.8208816605110259E-2</v>
      </c>
      <c r="T9" s="184">
        <f t="shared" si="2"/>
        <v>0.21647268024571614</v>
      </c>
      <c r="U9" s="184">
        <f t="shared" si="3"/>
        <v>0.1227658517508535</v>
      </c>
      <c r="V9" s="186">
        <f t="shared" si="4"/>
        <v>0.1218758433373088</v>
      </c>
    </row>
    <row r="10" spans="1:22" ht="15" x14ac:dyDescent="0.35">
      <c r="A10" t="s">
        <v>230</v>
      </c>
      <c r="E10" s="87">
        <v>0</v>
      </c>
      <c r="F10" s="118">
        <v>0</v>
      </c>
      <c r="G10" s="77">
        <v>0</v>
      </c>
      <c r="H10" s="77">
        <v>0</v>
      </c>
      <c r="I10" s="112">
        <v>0</v>
      </c>
      <c r="J10" s="77"/>
      <c r="K10" s="73"/>
      <c r="L10" s="135">
        <v>8245</v>
      </c>
      <c r="M10" s="124">
        <v>6131</v>
      </c>
      <c r="N10" s="74">
        <v>7547</v>
      </c>
      <c r="O10" s="74">
        <v>14102</v>
      </c>
      <c r="P10" s="230">
        <v>15752</v>
      </c>
      <c r="Q10" s="74"/>
      <c r="R10" s="187">
        <f t="shared" si="0"/>
        <v>0.22089752176825184</v>
      </c>
      <c r="S10" s="188">
        <f t="shared" si="1"/>
        <v>0.13242186656299273</v>
      </c>
      <c r="T10" s="187">
        <f t="shared" si="2"/>
        <v>0.12200129324280634</v>
      </c>
      <c r="U10" s="187">
        <f t="shared" si="3"/>
        <v>0.14905243576328334</v>
      </c>
      <c r="V10" s="189">
        <f t="shared" si="4"/>
        <v>0.13712773458923488</v>
      </c>
    </row>
    <row r="11" spans="1:22" x14ac:dyDescent="0.2">
      <c r="F11" s="115"/>
      <c r="I11" s="113"/>
      <c r="M11" s="123"/>
      <c r="N11" s="65"/>
      <c r="O11" s="65"/>
      <c r="P11" s="229"/>
      <c r="Q11" s="65"/>
      <c r="R11" s="184"/>
      <c r="S11" s="185"/>
      <c r="T11" s="184"/>
      <c r="U11" s="184"/>
      <c r="V11" s="186"/>
    </row>
    <row r="12" spans="1:22" x14ac:dyDescent="0.2">
      <c r="A12" t="s">
        <v>194</v>
      </c>
      <c r="E12" s="119">
        <f>SUM(E4:E10)</f>
        <v>11372</v>
      </c>
      <c r="F12" s="119">
        <f>SUM(F4:F10)</f>
        <v>12330</v>
      </c>
      <c r="G12" s="75">
        <f>SUM(G4:G10)</f>
        <v>14232</v>
      </c>
      <c r="H12" s="75">
        <f>SUM(H4:H10)</f>
        <v>17217</v>
      </c>
      <c r="I12" s="114">
        <f>SUM(I4:I10)</f>
        <v>19231</v>
      </c>
      <c r="J12" s="75"/>
      <c r="K12" s="71"/>
      <c r="L12" s="125">
        <f>SUM(L4:L10)</f>
        <v>37325</v>
      </c>
      <c r="M12" s="125">
        <f>SUM(M4:M10)</f>
        <v>46299</v>
      </c>
      <c r="N12" s="72">
        <f>SUM(N4:N10)</f>
        <v>61860</v>
      </c>
      <c r="O12" s="72">
        <f>SUM(O4:O10)</f>
        <v>94611</v>
      </c>
      <c r="P12" s="231">
        <f>SUM(P4:P10)</f>
        <v>114871</v>
      </c>
      <c r="Q12" s="72"/>
      <c r="R12" s="190">
        <f>SUM(R4:R10)</f>
        <v>1</v>
      </c>
      <c r="S12" s="190">
        <f>SUM(S4:S10)</f>
        <v>0.99999999999999989</v>
      </c>
      <c r="T12" s="190">
        <f>SUM(T4:T10)</f>
        <v>1</v>
      </c>
      <c r="U12" s="190">
        <f>SUM(U4:U10)</f>
        <v>1</v>
      </c>
      <c r="V12" s="191">
        <f>SUM(V4:V10)</f>
        <v>1</v>
      </c>
    </row>
    <row r="13" spans="1:22" x14ac:dyDescent="0.2">
      <c r="P13" s="157"/>
    </row>
    <row r="14" spans="1:22" x14ac:dyDescent="0.2">
      <c r="A14" t="s">
        <v>231</v>
      </c>
      <c r="M14" s="123">
        <v>35664</v>
      </c>
      <c r="N14" s="65">
        <v>33799</v>
      </c>
      <c r="O14" s="65">
        <v>35051</v>
      </c>
      <c r="P14" s="229">
        <v>35927</v>
      </c>
      <c r="Q14" s="65"/>
    </row>
    <row r="15" spans="1:22" ht="15" x14ac:dyDescent="0.35">
      <c r="A15" t="s">
        <v>232</v>
      </c>
      <c r="M15" s="126">
        <v>1547</v>
      </c>
      <c r="N15" s="78">
        <v>3148</v>
      </c>
      <c r="O15" s="78">
        <v>7978</v>
      </c>
      <c r="P15" s="232">
        <v>8911</v>
      </c>
      <c r="Q15" s="78"/>
    </row>
    <row r="16" spans="1:22" x14ac:dyDescent="0.2">
      <c r="A16" t="s">
        <v>233</v>
      </c>
      <c r="M16" s="123">
        <f>+M12-M14-M15</f>
        <v>9088</v>
      </c>
      <c r="N16" s="65">
        <f>+N12-N14-N15</f>
        <v>24913</v>
      </c>
      <c r="O16" s="65">
        <f>+O12-O14-O15</f>
        <v>51582</v>
      </c>
      <c r="P16" s="229">
        <f>+P12-P14-P15</f>
        <v>70033</v>
      </c>
      <c r="Q16" s="65"/>
    </row>
    <row r="17" spans="1:22" ht="15" x14ac:dyDescent="0.35">
      <c r="A17" t="s">
        <v>234</v>
      </c>
      <c r="M17" s="126">
        <v>3563</v>
      </c>
      <c r="N17" s="78">
        <v>11904</v>
      </c>
      <c r="O17" s="78">
        <v>26451</v>
      </c>
      <c r="P17" s="232">
        <v>32915</v>
      </c>
      <c r="Q17" s="78"/>
    </row>
    <row r="18" spans="1:22" x14ac:dyDescent="0.2">
      <c r="A18" t="s">
        <v>235</v>
      </c>
      <c r="M18" s="123">
        <f>+M16-M17</f>
        <v>5525</v>
      </c>
      <c r="N18" s="65">
        <f>+N16-N17</f>
        <v>13009</v>
      </c>
      <c r="O18" s="65">
        <f>+O16-O17</f>
        <v>25131</v>
      </c>
      <c r="P18" s="229">
        <f>+P16-P17</f>
        <v>37118</v>
      </c>
      <c r="Q18" s="65"/>
    </row>
    <row r="19" spans="1:22" x14ac:dyDescent="0.2">
      <c r="A19" t="s">
        <v>236</v>
      </c>
      <c r="M19" s="123">
        <v>500</v>
      </c>
      <c r="N19" s="65">
        <v>1436</v>
      </c>
      <c r="O19" s="65">
        <v>2403</v>
      </c>
      <c r="P19" s="229">
        <v>3712</v>
      </c>
      <c r="Q19" s="65"/>
    </row>
    <row r="20" spans="1:22" x14ac:dyDescent="0.2">
      <c r="A20" t="s">
        <v>86</v>
      </c>
      <c r="M20" s="125">
        <f>+M18-M19</f>
        <v>5025</v>
      </c>
      <c r="N20" s="72">
        <f>+N18-N19</f>
        <v>11573</v>
      </c>
      <c r="O20" s="72">
        <f>+O18-O19</f>
        <v>22728</v>
      </c>
      <c r="P20" s="231">
        <f>+P18-P19</f>
        <v>33406</v>
      </c>
      <c r="Q20" s="65"/>
    </row>
    <row r="21" spans="1:22" x14ac:dyDescent="0.2">
      <c r="M21" s="123"/>
      <c r="N21" s="65"/>
      <c r="O21" s="65"/>
      <c r="P21" s="229"/>
      <c r="Q21" s="65"/>
    </row>
    <row r="22" spans="1:22" ht="15" x14ac:dyDescent="0.35">
      <c r="A22" t="s">
        <v>363</v>
      </c>
      <c r="M22" s="126">
        <v>4942</v>
      </c>
      <c r="N22" s="78">
        <v>6730</v>
      </c>
      <c r="O22" s="78">
        <v>13681</v>
      </c>
      <c r="P22" s="232">
        <v>16623</v>
      </c>
      <c r="Q22" s="65"/>
    </row>
    <row r="23" spans="1:22" x14ac:dyDescent="0.2">
      <c r="A23" t="s">
        <v>107</v>
      </c>
      <c r="M23" s="127">
        <f>+M20+M22</f>
        <v>9967</v>
      </c>
      <c r="N23" s="66">
        <f>+N20+N22</f>
        <v>18303</v>
      </c>
      <c r="O23" s="66">
        <f>+O20+O22</f>
        <v>36409</v>
      </c>
      <c r="P23" s="233">
        <f>+P20+P22</f>
        <v>50029</v>
      </c>
      <c r="Q23" s="66"/>
    </row>
    <row r="24" spans="1:22" x14ac:dyDescent="0.2">
      <c r="V24" s="66"/>
    </row>
    <row r="25" spans="1:22" s="134" customFormat="1" x14ac:dyDescent="0.2">
      <c r="T25" s="212"/>
    </row>
    <row r="26" spans="1:22" x14ac:dyDescent="0.2">
      <c r="T26" s="66"/>
    </row>
    <row r="28" spans="1:22" x14ac:dyDescent="0.2">
      <c r="M28" s="66"/>
      <c r="N28" s="66"/>
      <c r="O28" s="66"/>
    </row>
    <row r="29" spans="1:22" x14ac:dyDescent="0.2">
      <c r="M29" s="66"/>
      <c r="N29" s="66"/>
      <c r="O29" s="66"/>
    </row>
    <row r="30" spans="1:22" x14ac:dyDescent="0.2">
      <c r="K30" s="110"/>
      <c r="L30" s="110"/>
      <c r="M30" s="712"/>
      <c r="N30" s="712"/>
      <c r="O30" s="712"/>
      <c r="P30" s="712"/>
      <c r="Q30" s="110"/>
    </row>
    <row r="31" spans="1:22" x14ac:dyDescent="0.2">
      <c r="K31" s="110"/>
      <c r="L31" s="110"/>
      <c r="M31" s="712"/>
      <c r="N31" s="712"/>
      <c r="O31" s="712"/>
      <c r="P31" s="110"/>
      <c r="Q31" s="110"/>
    </row>
    <row r="32" spans="1:22" x14ac:dyDescent="0.2">
      <c r="K32" s="110"/>
      <c r="L32" s="110"/>
      <c r="M32" s="712"/>
      <c r="N32" s="712"/>
      <c r="O32" s="712"/>
      <c r="P32" s="110"/>
      <c r="Q32" s="110"/>
    </row>
    <row r="33" spans="6:24" x14ac:dyDescent="0.2">
      <c r="K33" s="110"/>
      <c r="L33" s="110"/>
      <c r="M33" s="712"/>
      <c r="N33" s="712"/>
      <c r="O33" s="712"/>
      <c r="P33" s="110"/>
      <c r="Q33" s="110"/>
    </row>
    <row r="34" spans="6:24" x14ac:dyDescent="0.2">
      <c r="K34" s="110"/>
      <c r="L34" s="110"/>
      <c r="M34" s="714"/>
      <c r="N34" s="714"/>
      <c r="O34" s="714"/>
      <c r="P34" s="110"/>
      <c r="Q34" s="110"/>
    </row>
    <row r="35" spans="6:24" x14ac:dyDescent="0.2">
      <c r="K35" s="110"/>
      <c r="L35" s="110"/>
      <c r="M35" s="712"/>
      <c r="N35" s="712"/>
      <c r="O35" s="712"/>
      <c r="P35" s="110"/>
      <c r="Q35" s="110"/>
    </row>
    <row r="36" spans="6:24" x14ac:dyDescent="0.2">
      <c r="K36" s="110"/>
      <c r="L36" s="110"/>
      <c r="M36" s="110"/>
      <c r="N36" s="110"/>
      <c r="O36" s="110"/>
      <c r="P36" s="110"/>
      <c r="Q36" s="110"/>
    </row>
    <row r="37" spans="6:24" x14ac:dyDescent="0.2">
      <c r="K37" s="110"/>
      <c r="L37" s="110"/>
      <c r="M37" s="110"/>
      <c r="N37" s="712"/>
      <c r="O37" s="110"/>
      <c r="P37" s="110"/>
      <c r="Q37" s="110"/>
    </row>
    <row r="38" spans="6:24" x14ac:dyDescent="0.2">
      <c r="K38" s="110"/>
      <c r="L38" s="110"/>
      <c r="M38" s="110"/>
      <c r="N38" s="110"/>
      <c r="O38" s="110"/>
      <c r="P38" s="110"/>
      <c r="Q38" s="110"/>
    </row>
    <row r="39" spans="6:24" x14ac:dyDescent="0.2">
      <c r="K39" s="110"/>
      <c r="L39" s="110"/>
      <c r="M39" s="110"/>
      <c r="N39" s="110"/>
      <c r="O39" s="110"/>
      <c r="P39" s="110"/>
      <c r="Q39" s="110"/>
    </row>
    <row r="40" spans="6:24" x14ac:dyDescent="0.2">
      <c r="K40" s="110"/>
      <c r="L40" s="110"/>
      <c r="M40" s="110"/>
      <c r="N40" s="110"/>
      <c r="O40" s="110"/>
      <c r="P40" s="110"/>
      <c r="Q40" s="110"/>
    </row>
    <row r="41" spans="6:24" x14ac:dyDescent="0.2">
      <c r="K41" s="110"/>
      <c r="L41" s="110"/>
      <c r="M41" s="110"/>
      <c r="N41" s="110"/>
      <c r="O41" s="110"/>
      <c r="P41" s="110"/>
      <c r="Q41" s="110"/>
    </row>
    <row r="42" spans="6:24" x14ac:dyDescent="0.2">
      <c r="K42" s="110"/>
      <c r="L42" s="110"/>
      <c r="M42" s="110"/>
      <c r="N42" s="110"/>
      <c r="O42" s="110"/>
      <c r="P42" s="110"/>
      <c r="Q42" s="110"/>
      <c r="R42" s="110"/>
      <c r="S42" s="110"/>
      <c r="T42" s="110"/>
      <c r="U42" s="110"/>
      <c r="V42" s="110"/>
      <c r="W42" s="712"/>
      <c r="X42" s="110"/>
    </row>
    <row r="43" spans="6:24" x14ac:dyDescent="0.2">
      <c r="K43" s="110"/>
      <c r="L43" s="110"/>
      <c r="M43" s="110"/>
      <c r="N43" s="110"/>
      <c r="O43" s="110"/>
      <c r="P43" s="110"/>
      <c r="Q43" s="110"/>
      <c r="R43" s="110"/>
      <c r="S43" s="110"/>
      <c r="T43" s="110"/>
      <c r="U43" s="110"/>
      <c r="V43" s="110"/>
      <c r="W43" s="110"/>
      <c r="X43" s="110"/>
    </row>
    <row r="44" spans="6:24" x14ac:dyDescent="0.2">
      <c r="K44" s="110"/>
      <c r="L44" s="110"/>
      <c r="M44" s="110"/>
      <c r="N44" s="110"/>
      <c r="O44" s="110"/>
      <c r="P44" s="110"/>
      <c r="Q44" s="110"/>
      <c r="R44" s="110"/>
      <c r="S44" s="110"/>
      <c r="T44" s="110"/>
      <c r="U44" s="110"/>
      <c r="V44" s="110"/>
      <c r="W44" s="110"/>
      <c r="X44" s="110"/>
    </row>
    <row r="45" spans="6:24" x14ac:dyDescent="0.2">
      <c r="P45" s="110"/>
      <c r="Q45" s="110"/>
      <c r="R45" s="110"/>
      <c r="S45" s="110"/>
      <c r="T45" s="110"/>
      <c r="U45" s="110"/>
      <c r="V45" s="110"/>
      <c r="W45" s="110"/>
      <c r="X45" s="110"/>
    </row>
    <row r="46" spans="6:24" x14ac:dyDescent="0.2">
      <c r="P46" s="110"/>
      <c r="Q46" s="110"/>
      <c r="R46" s="110"/>
      <c r="S46" s="110"/>
      <c r="T46" s="110"/>
      <c r="U46" s="110"/>
      <c r="V46" s="110"/>
      <c r="W46" s="110"/>
      <c r="X46" s="110"/>
    </row>
    <row r="47" spans="6:24" x14ac:dyDescent="0.2">
      <c r="F47" s="65"/>
      <c r="G47" s="65"/>
      <c r="H47" s="65"/>
      <c r="P47" s="110"/>
      <c r="Q47" s="110"/>
      <c r="R47" s="110"/>
      <c r="S47" s="110"/>
      <c r="T47" s="110"/>
      <c r="U47" s="706"/>
      <c r="V47" s="706"/>
      <c r="W47" s="706"/>
      <c r="X47" s="110"/>
    </row>
    <row r="48" spans="6:24" x14ac:dyDescent="0.2">
      <c r="G48" s="65"/>
      <c r="H48" s="65"/>
      <c r="I48" s="65"/>
      <c r="P48" s="110"/>
      <c r="Q48" s="263"/>
      <c r="R48" s="263"/>
      <c r="S48" s="263"/>
      <c r="T48" s="707"/>
      <c r="U48" s="707"/>
      <c r="V48" s="707"/>
      <c r="W48" s="707"/>
      <c r="X48" s="110"/>
    </row>
    <row r="49" spans="16:24" x14ac:dyDescent="0.2">
      <c r="P49" s="110"/>
      <c r="Q49" s="263"/>
      <c r="R49" s="263"/>
      <c r="S49" s="263"/>
      <c r="T49" s="263"/>
      <c r="U49" s="707"/>
      <c r="V49" s="707"/>
      <c r="W49" s="707"/>
      <c r="X49" s="110"/>
    </row>
    <row r="50" spans="16:24" x14ac:dyDescent="0.2">
      <c r="P50" s="110"/>
      <c r="Q50" s="263"/>
      <c r="R50" s="263"/>
      <c r="S50" s="263"/>
      <c r="T50" s="263"/>
      <c r="U50" s="708"/>
      <c r="V50" s="708"/>
      <c r="W50" s="708"/>
      <c r="X50" s="110"/>
    </row>
    <row r="51" spans="16:24" ht="15" x14ac:dyDescent="0.35">
      <c r="P51" s="110"/>
      <c r="Q51" s="263"/>
      <c r="R51" s="263"/>
      <c r="S51" s="263"/>
      <c r="T51" s="263"/>
      <c r="U51" s="709"/>
      <c r="V51" s="710"/>
      <c r="W51" s="710"/>
      <c r="X51" s="110"/>
    </row>
    <row r="52" spans="16:24" x14ac:dyDescent="0.2">
      <c r="P52" s="110"/>
      <c r="Q52" s="263"/>
      <c r="R52" s="263"/>
      <c r="S52" s="263"/>
      <c r="T52" s="263"/>
      <c r="U52" s="707"/>
      <c r="V52" s="707"/>
      <c r="W52" s="707"/>
      <c r="X52" s="110"/>
    </row>
    <row r="53" spans="16:24" x14ac:dyDescent="0.2">
      <c r="P53" s="110"/>
      <c r="Q53" s="263"/>
      <c r="R53" s="263"/>
      <c r="S53" s="263"/>
      <c r="T53" s="263"/>
      <c r="U53" s="708"/>
      <c r="V53" s="708"/>
      <c r="W53" s="708"/>
      <c r="X53" s="110"/>
    </row>
    <row r="54" spans="16:24" x14ac:dyDescent="0.2">
      <c r="P54" s="110"/>
      <c r="Q54" s="263"/>
      <c r="R54" s="263"/>
      <c r="S54" s="263"/>
      <c r="T54" s="263"/>
      <c r="U54" s="707"/>
      <c r="V54" s="707"/>
      <c r="W54" s="707"/>
      <c r="X54" s="110"/>
    </row>
    <row r="55" spans="16:24" ht="15" x14ac:dyDescent="0.35">
      <c r="P55" s="110"/>
      <c r="Q55" s="263"/>
      <c r="R55" s="263"/>
      <c r="S55" s="263"/>
      <c r="T55" s="263"/>
      <c r="U55" s="709"/>
      <c r="V55" s="709"/>
      <c r="W55" s="709"/>
      <c r="X55" s="110"/>
    </row>
    <row r="56" spans="16:24" x14ac:dyDescent="0.2">
      <c r="P56" s="110"/>
      <c r="Q56" s="263"/>
      <c r="R56" s="263"/>
      <c r="S56" s="263"/>
      <c r="T56" s="263"/>
      <c r="U56" s="707"/>
      <c r="V56" s="707"/>
      <c r="W56" s="707"/>
      <c r="X56" s="110"/>
    </row>
    <row r="57" spans="16:24" x14ac:dyDescent="0.2">
      <c r="P57" s="110"/>
      <c r="Q57" s="110"/>
      <c r="R57" s="110"/>
      <c r="S57" s="110"/>
      <c r="T57" s="110"/>
      <c r="U57" s="110"/>
      <c r="V57" s="110"/>
      <c r="W57" s="110"/>
      <c r="X57" s="110"/>
    </row>
    <row r="58" spans="16:24" x14ac:dyDescent="0.2">
      <c r="P58" s="110"/>
      <c r="Q58" s="110"/>
      <c r="R58" s="110"/>
      <c r="S58" s="110"/>
      <c r="T58" s="110"/>
      <c r="U58" s="110"/>
      <c r="V58" s="110"/>
      <c r="W58" s="110"/>
      <c r="X58" s="110"/>
    </row>
    <row r="59" spans="16:24" x14ac:dyDescent="0.2">
      <c r="P59" s="110"/>
      <c r="Q59" s="263"/>
      <c r="R59" s="110"/>
      <c r="S59" s="110"/>
      <c r="T59" s="110"/>
      <c r="U59" s="110"/>
      <c r="V59" s="110"/>
      <c r="W59" s="712"/>
      <c r="X59" s="110"/>
    </row>
    <row r="60" spans="16:24" x14ac:dyDescent="0.2">
      <c r="P60" s="110"/>
      <c r="Q60" s="110"/>
      <c r="R60" s="110"/>
      <c r="S60" s="110"/>
      <c r="T60" s="110"/>
      <c r="U60" s="110"/>
      <c r="V60" s="712"/>
      <c r="W60" s="712"/>
      <c r="X60" s="110"/>
    </row>
    <row r="61" spans="16:24" ht="15" x14ac:dyDescent="0.35">
      <c r="P61" s="110"/>
      <c r="Q61" s="110"/>
      <c r="R61" s="110"/>
      <c r="S61" s="110"/>
      <c r="T61" s="110"/>
      <c r="U61" s="110"/>
      <c r="V61" s="711"/>
      <c r="W61" s="711"/>
      <c r="X61" s="110"/>
    </row>
    <row r="62" spans="16:24" x14ac:dyDescent="0.2">
      <c r="P62" s="110"/>
      <c r="Q62" s="110"/>
      <c r="R62" s="110"/>
      <c r="S62" s="110"/>
      <c r="T62" s="110"/>
      <c r="U62" s="110"/>
      <c r="V62" s="712"/>
      <c r="W62" s="712"/>
      <c r="X62" s="110"/>
    </row>
    <row r="63" spans="16:24" ht="15" x14ac:dyDescent="0.35">
      <c r="P63" s="110"/>
      <c r="Q63" s="110"/>
      <c r="R63" s="110"/>
      <c r="S63" s="110"/>
      <c r="T63" s="110"/>
      <c r="U63" s="110"/>
      <c r="V63" s="711"/>
      <c r="W63" s="711"/>
      <c r="X63" s="110"/>
    </row>
    <row r="64" spans="16:24" x14ac:dyDescent="0.2">
      <c r="P64" s="110"/>
      <c r="Q64" s="110"/>
      <c r="R64" s="110"/>
      <c r="S64" s="110"/>
      <c r="T64" s="110"/>
      <c r="U64" s="110"/>
      <c r="V64" s="712"/>
      <c r="W64" s="712"/>
      <c r="X64" s="110"/>
    </row>
    <row r="65" spans="5:24" x14ac:dyDescent="0.2">
      <c r="P65" s="110"/>
      <c r="Q65" s="110"/>
      <c r="R65" s="110"/>
      <c r="S65" s="110"/>
      <c r="T65" s="110"/>
      <c r="U65" s="110"/>
      <c r="V65" s="110"/>
      <c r="W65" s="110"/>
      <c r="X65" s="110"/>
    </row>
    <row r="66" spans="5:24" x14ac:dyDescent="0.2">
      <c r="E66" s="110"/>
      <c r="F66" s="110"/>
      <c r="G66" s="110"/>
      <c r="H66" s="110"/>
      <c r="I66" s="110"/>
      <c r="J66" s="110"/>
      <c r="K66" s="110"/>
      <c r="L66" s="110"/>
      <c r="M66" s="110"/>
      <c r="N66" s="110"/>
      <c r="O66" s="110"/>
      <c r="P66" s="110"/>
      <c r="Q66" s="110"/>
      <c r="R66" s="110"/>
      <c r="S66" s="110"/>
      <c r="T66" s="110"/>
      <c r="U66" s="110"/>
      <c r="V66" s="712"/>
      <c r="W66" s="712"/>
      <c r="X66" s="110"/>
    </row>
    <row r="67" spans="5:24" ht="15" x14ac:dyDescent="0.35">
      <c r="E67" s="110"/>
      <c r="F67" s="110"/>
      <c r="G67" s="110"/>
      <c r="H67" s="110"/>
      <c r="I67" s="110"/>
      <c r="J67" s="110"/>
      <c r="K67" s="110"/>
      <c r="L67" s="110"/>
      <c r="M67" s="110"/>
      <c r="N67" s="110"/>
      <c r="O67" s="110"/>
      <c r="P67" s="110"/>
      <c r="Q67" s="110"/>
      <c r="R67" s="110"/>
      <c r="S67" s="110"/>
      <c r="T67" s="110"/>
      <c r="U67" s="110"/>
      <c r="V67" s="711"/>
      <c r="W67" s="711"/>
      <c r="X67" s="110"/>
    </row>
    <row r="68" spans="5:24" x14ac:dyDescent="0.2">
      <c r="E68" s="110"/>
      <c r="F68" s="110"/>
      <c r="G68" s="110"/>
      <c r="H68" s="110"/>
      <c r="I68" s="110"/>
      <c r="J68" s="110"/>
      <c r="K68" s="110"/>
      <c r="L68" s="110"/>
      <c r="M68" s="158"/>
      <c r="N68" s="158"/>
      <c r="O68" s="158"/>
      <c r="P68" s="110"/>
      <c r="Q68" s="110"/>
      <c r="R68" s="110"/>
      <c r="S68" s="110"/>
      <c r="T68" s="110"/>
      <c r="U68" s="110"/>
      <c r="V68" s="712"/>
      <c r="W68" s="712"/>
      <c r="X68" s="110"/>
    </row>
    <row r="69" spans="5:24" x14ac:dyDescent="0.2">
      <c r="E69" s="110"/>
      <c r="F69" s="110"/>
      <c r="G69" s="110"/>
      <c r="H69" s="110"/>
      <c r="I69" s="110"/>
      <c r="J69" s="110"/>
      <c r="K69" s="110"/>
      <c r="L69" s="110"/>
      <c r="M69" s="712"/>
      <c r="N69" s="712"/>
      <c r="O69" s="712"/>
      <c r="P69" s="110"/>
      <c r="Q69" s="110"/>
      <c r="R69" s="110"/>
      <c r="S69" s="110"/>
      <c r="T69" s="110"/>
      <c r="U69" s="110"/>
      <c r="V69" s="110"/>
      <c r="W69" s="110"/>
      <c r="X69" s="110"/>
    </row>
    <row r="70" spans="5:24" ht="15" x14ac:dyDescent="0.35">
      <c r="E70" s="110"/>
      <c r="F70" s="110"/>
      <c r="G70" s="110"/>
      <c r="H70" s="110"/>
      <c r="I70" s="110"/>
      <c r="J70" s="110"/>
      <c r="K70" s="110"/>
      <c r="L70" s="110"/>
      <c r="M70" s="711"/>
      <c r="N70" s="711"/>
      <c r="O70" s="711"/>
      <c r="P70" s="110"/>
      <c r="Q70" s="110"/>
      <c r="R70" s="110"/>
      <c r="S70" s="110"/>
      <c r="T70" s="110"/>
      <c r="U70" s="110"/>
      <c r="V70" s="110"/>
      <c r="W70" s="110"/>
      <c r="X70" s="110"/>
    </row>
    <row r="71" spans="5:24" x14ac:dyDescent="0.2">
      <c r="E71" s="110"/>
      <c r="F71" s="110"/>
      <c r="G71" s="110"/>
      <c r="H71" s="110"/>
      <c r="I71" s="110"/>
      <c r="J71" s="110"/>
      <c r="K71" s="110"/>
      <c r="L71" s="110"/>
      <c r="M71" s="712"/>
      <c r="N71" s="712"/>
      <c r="O71" s="712"/>
    </row>
    <row r="72" spans="5:24" x14ac:dyDescent="0.2">
      <c r="E72" s="110"/>
      <c r="F72" s="110"/>
      <c r="G72" s="110"/>
      <c r="H72" s="110"/>
      <c r="I72" s="110"/>
      <c r="J72" s="110"/>
      <c r="K72" s="110"/>
      <c r="L72" s="110"/>
      <c r="M72" s="110"/>
      <c r="N72" s="110"/>
      <c r="O72" s="110"/>
    </row>
    <row r="73" spans="5:24" x14ac:dyDescent="0.2">
      <c r="E73" s="110"/>
      <c r="F73" s="110"/>
      <c r="G73" s="110"/>
      <c r="H73" s="110"/>
      <c r="I73" s="110"/>
      <c r="J73" s="110"/>
      <c r="K73" s="110"/>
      <c r="L73" s="110"/>
      <c r="M73" s="712"/>
      <c r="N73" s="712"/>
      <c r="O73" s="712"/>
    </row>
    <row r="74" spans="5:24" x14ac:dyDescent="0.2">
      <c r="E74" s="110"/>
      <c r="F74" s="110"/>
      <c r="G74" s="110"/>
      <c r="H74" s="110"/>
      <c r="I74" s="110"/>
      <c r="J74" s="110"/>
      <c r="K74" s="110"/>
      <c r="L74" s="110"/>
      <c r="M74" s="293"/>
      <c r="N74" s="293"/>
      <c r="O74" s="293"/>
    </row>
    <row r="75" spans="5:24" ht="15" x14ac:dyDescent="0.35">
      <c r="E75" s="110"/>
      <c r="F75" s="110"/>
      <c r="G75" s="110"/>
      <c r="H75" s="110"/>
      <c r="I75" s="110"/>
      <c r="J75" s="110"/>
      <c r="K75" s="110"/>
      <c r="L75" s="110"/>
      <c r="M75" s="711"/>
      <c r="N75" s="711"/>
      <c r="O75" s="711"/>
    </row>
    <row r="76" spans="5:24" x14ac:dyDescent="0.2">
      <c r="E76" s="110"/>
      <c r="F76" s="110"/>
      <c r="G76" s="110"/>
      <c r="H76" s="110"/>
      <c r="I76" s="110"/>
      <c r="J76" s="110"/>
      <c r="K76" s="110"/>
      <c r="L76" s="110"/>
      <c r="M76" s="158"/>
      <c r="N76" s="158"/>
      <c r="O76" s="158"/>
    </row>
    <row r="77" spans="5:24" x14ac:dyDescent="0.2">
      <c r="E77" s="110"/>
      <c r="F77" s="110"/>
      <c r="G77" s="110"/>
      <c r="H77" s="110"/>
      <c r="I77" s="110"/>
      <c r="J77" s="110"/>
      <c r="K77" s="110"/>
      <c r="L77" s="110"/>
      <c r="M77" s="110"/>
      <c r="N77" s="110"/>
      <c r="O77" s="110"/>
    </row>
    <row r="78" spans="5:24" x14ac:dyDescent="0.2">
      <c r="E78" s="110"/>
      <c r="F78" s="110"/>
      <c r="G78" s="110"/>
      <c r="H78" s="110"/>
      <c r="I78" s="110"/>
      <c r="J78" s="110"/>
      <c r="K78" s="110"/>
      <c r="L78" s="110"/>
      <c r="M78" s="712"/>
      <c r="N78" s="712"/>
      <c r="O78" s="712"/>
    </row>
    <row r="79" spans="5:24" x14ac:dyDescent="0.2">
      <c r="E79" s="110"/>
      <c r="F79" s="110"/>
      <c r="G79" s="110"/>
      <c r="H79" s="110"/>
      <c r="I79" s="110"/>
      <c r="J79" s="110"/>
      <c r="K79" s="110"/>
      <c r="L79" s="110"/>
      <c r="M79" s="110"/>
      <c r="N79" s="110"/>
      <c r="O79" s="110"/>
    </row>
    <row r="80" spans="5:24" x14ac:dyDescent="0.2">
      <c r="E80" s="110"/>
      <c r="F80" s="110"/>
      <c r="G80" s="110"/>
      <c r="H80" s="110"/>
      <c r="I80" s="110"/>
      <c r="J80" s="110"/>
      <c r="K80" s="110"/>
      <c r="L80" s="110"/>
      <c r="M80" s="712"/>
      <c r="N80" s="712"/>
      <c r="O80" s="712"/>
    </row>
    <row r="81" spans="5:18" x14ac:dyDescent="0.2">
      <c r="E81" s="110"/>
      <c r="F81" s="110"/>
      <c r="G81" s="110"/>
      <c r="H81" s="110"/>
      <c r="I81" s="110"/>
      <c r="J81" s="110"/>
      <c r="K81" s="110"/>
      <c r="L81" s="110"/>
      <c r="M81" s="712"/>
      <c r="N81" s="712"/>
      <c r="O81" s="712"/>
    </row>
    <row r="82" spans="5:18" x14ac:dyDescent="0.2">
      <c r="E82" s="110"/>
      <c r="F82" s="110"/>
      <c r="G82" s="110"/>
      <c r="H82" s="110"/>
      <c r="I82" s="110"/>
      <c r="J82" s="110"/>
      <c r="K82" s="110"/>
      <c r="L82" s="110"/>
      <c r="M82" s="712"/>
      <c r="N82" s="712"/>
      <c r="O82" s="712"/>
    </row>
    <row r="83" spans="5:18" x14ac:dyDescent="0.2">
      <c r="E83" s="110"/>
      <c r="F83" s="110"/>
      <c r="G83" s="110"/>
      <c r="H83" s="110"/>
      <c r="I83" s="110"/>
      <c r="J83" s="110"/>
      <c r="K83" s="110"/>
      <c r="L83" s="110"/>
      <c r="M83" s="110"/>
      <c r="N83" s="110"/>
      <c r="O83" s="110"/>
    </row>
    <row r="84" spans="5:18" x14ac:dyDescent="0.2">
      <c r="E84" s="110"/>
      <c r="F84" s="110"/>
      <c r="G84" s="110"/>
      <c r="H84" s="110"/>
      <c r="I84" s="110"/>
      <c r="J84" s="110"/>
      <c r="K84" s="110"/>
      <c r="L84" s="110"/>
      <c r="M84" s="712"/>
      <c r="N84" s="712"/>
      <c r="O84" s="712"/>
    </row>
    <row r="85" spans="5:18" x14ac:dyDescent="0.2">
      <c r="E85" s="110"/>
      <c r="F85" s="110"/>
      <c r="G85" s="110"/>
      <c r="H85" s="110"/>
      <c r="I85" s="110"/>
      <c r="J85" s="110"/>
      <c r="K85" s="110"/>
      <c r="L85" s="110"/>
      <c r="M85" s="110"/>
      <c r="N85" s="110"/>
      <c r="O85" s="110"/>
    </row>
    <row r="86" spans="5:18" x14ac:dyDescent="0.2">
      <c r="E86" s="110"/>
      <c r="F86" s="110"/>
      <c r="G86" s="110"/>
      <c r="H86" s="110"/>
      <c r="I86" s="110"/>
      <c r="J86" s="110"/>
      <c r="K86" s="110"/>
      <c r="L86" s="110"/>
      <c r="M86" s="110"/>
      <c r="N86" s="110"/>
      <c r="O86" s="110"/>
    </row>
    <row r="87" spans="5:18" x14ac:dyDescent="0.2">
      <c r="E87" s="110"/>
      <c r="F87" s="110"/>
      <c r="G87" s="110"/>
      <c r="H87" s="110"/>
      <c r="I87" s="110"/>
      <c r="J87" s="110"/>
      <c r="K87" s="110"/>
      <c r="L87" s="110"/>
      <c r="M87" s="712"/>
      <c r="N87" s="712"/>
      <c r="O87" s="712"/>
    </row>
    <row r="88" spans="5:18" x14ac:dyDescent="0.2">
      <c r="E88" s="110"/>
      <c r="F88" s="110"/>
      <c r="G88" s="110"/>
      <c r="H88" s="110"/>
      <c r="I88" s="110"/>
      <c r="J88" s="110"/>
      <c r="K88" s="110"/>
      <c r="L88" s="110"/>
      <c r="M88" s="712"/>
      <c r="N88" s="712"/>
      <c r="O88" s="712"/>
      <c r="R88" s="66"/>
    </row>
    <row r="89" spans="5:18" x14ac:dyDescent="0.2">
      <c r="E89" s="110"/>
      <c r="F89" s="110"/>
      <c r="G89" s="110"/>
      <c r="H89" s="110"/>
      <c r="I89" s="110"/>
      <c r="J89" s="110"/>
      <c r="K89" s="110"/>
      <c r="L89" s="110"/>
      <c r="M89" s="713"/>
      <c r="N89" s="713"/>
      <c r="O89" s="713"/>
    </row>
    <row r="90" spans="5:18" x14ac:dyDescent="0.2">
      <c r="E90" s="110"/>
      <c r="F90" s="110"/>
      <c r="G90" s="110"/>
      <c r="H90" s="110"/>
      <c r="I90" s="110"/>
      <c r="J90" s="110"/>
      <c r="K90" s="110"/>
      <c r="L90" s="110"/>
      <c r="M90" s="712"/>
      <c r="N90" s="712"/>
      <c r="O90" s="712"/>
    </row>
    <row r="91" spans="5:18" x14ac:dyDescent="0.2">
      <c r="E91" s="110"/>
      <c r="F91" s="110"/>
      <c r="G91" s="110"/>
      <c r="H91" s="110"/>
      <c r="I91" s="110"/>
      <c r="J91" s="110"/>
      <c r="K91" s="110"/>
      <c r="L91" s="110"/>
      <c r="M91" s="713"/>
      <c r="N91" s="713"/>
      <c r="O91" s="713"/>
    </row>
    <row r="92" spans="5:18" x14ac:dyDescent="0.2">
      <c r="E92" s="110"/>
      <c r="F92" s="110"/>
      <c r="G92" s="110"/>
      <c r="H92" s="110"/>
      <c r="I92" s="110"/>
      <c r="J92" s="110"/>
      <c r="K92" s="110"/>
      <c r="L92" s="110"/>
      <c r="M92" s="110"/>
      <c r="N92" s="110"/>
      <c r="O92" s="110"/>
    </row>
    <row r="93" spans="5:18" x14ac:dyDescent="0.2">
      <c r="E93" s="110"/>
      <c r="F93" s="110"/>
      <c r="G93" s="110"/>
      <c r="H93" s="110"/>
      <c r="I93" s="110"/>
      <c r="J93" s="110"/>
      <c r="K93" s="110"/>
      <c r="L93" s="110"/>
      <c r="M93" s="110"/>
      <c r="N93" s="110"/>
      <c r="O93" s="713"/>
      <c r="P93" s="133"/>
    </row>
    <row r="94" spans="5:18" x14ac:dyDescent="0.2">
      <c r="E94" s="110"/>
      <c r="F94" s="110"/>
      <c r="G94" s="110"/>
      <c r="H94" s="110"/>
      <c r="I94" s="110"/>
      <c r="J94" s="110"/>
      <c r="K94" s="110"/>
      <c r="L94" s="110"/>
      <c r="M94" s="110"/>
      <c r="N94" s="110"/>
      <c r="O94" s="713"/>
    </row>
    <row r="95" spans="5:18" x14ac:dyDescent="0.2">
      <c r="E95" s="110"/>
      <c r="F95" s="110"/>
      <c r="G95" s="110"/>
      <c r="H95" s="110"/>
      <c r="I95" s="110"/>
      <c r="J95" s="110"/>
      <c r="K95" s="110"/>
      <c r="L95" s="110"/>
      <c r="M95" s="110"/>
      <c r="N95" s="110"/>
      <c r="O95" s="110"/>
    </row>
    <row r="96" spans="5:18" x14ac:dyDescent="0.2">
      <c r="E96" s="110"/>
      <c r="F96" s="110"/>
      <c r="G96" s="110"/>
      <c r="H96" s="110"/>
      <c r="I96" s="110"/>
      <c r="J96" s="110"/>
      <c r="K96" s="110"/>
      <c r="L96" s="110"/>
      <c r="M96" s="110"/>
      <c r="N96" s="110"/>
      <c r="O96" s="712"/>
    </row>
    <row r="97" spans="5:16" x14ac:dyDescent="0.2">
      <c r="E97" s="110"/>
      <c r="F97" s="110"/>
      <c r="G97" s="110"/>
      <c r="H97" s="110"/>
      <c r="I97" s="110"/>
      <c r="J97" s="110"/>
      <c r="K97" s="110"/>
      <c r="L97" s="110"/>
      <c r="M97" s="110"/>
      <c r="N97" s="110"/>
      <c r="O97" s="712"/>
    </row>
    <row r="98" spans="5:16" x14ac:dyDescent="0.2">
      <c r="E98" s="110"/>
      <c r="F98" s="110"/>
      <c r="G98" s="110"/>
      <c r="H98" s="110"/>
      <c r="I98" s="110"/>
      <c r="J98" s="110"/>
      <c r="K98" s="110"/>
      <c r="L98" s="110"/>
      <c r="M98" s="110"/>
      <c r="N98" s="110"/>
      <c r="O98" s="712"/>
    </row>
    <row r="99" spans="5:16" x14ac:dyDescent="0.2">
      <c r="E99" s="110"/>
      <c r="F99" s="110"/>
      <c r="G99" s="110"/>
      <c r="H99" s="110"/>
      <c r="I99" s="110"/>
      <c r="J99" s="110"/>
      <c r="K99" s="110"/>
      <c r="L99" s="110"/>
      <c r="M99" s="110"/>
      <c r="N99" s="110"/>
      <c r="O99" s="110"/>
    </row>
    <row r="100" spans="5:16" x14ac:dyDescent="0.2">
      <c r="E100" s="110"/>
      <c r="F100" s="110"/>
      <c r="G100" s="110"/>
      <c r="H100" s="110"/>
      <c r="I100" s="110"/>
      <c r="J100" s="110"/>
      <c r="K100" s="110"/>
      <c r="L100" s="110"/>
      <c r="M100" s="110"/>
      <c r="N100" s="110"/>
      <c r="O100" s="110"/>
    </row>
    <row r="101" spans="5:16" x14ac:dyDescent="0.2">
      <c r="E101" s="110"/>
      <c r="F101" s="110"/>
      <c r="G101" s="110"/>
      <c r="H101" s="110"/>
      <c r="I101" s="110"/>
      <c r="J101" s="110"/>
      <c r="K101" s="110"/>
      <c r="L101" s="110"/>
      <c r="M101" s="110"/>
      <c r="N101" s="158"/>
      <c r="O101" s="158"/>
    </row>
    <row r="102" spans="5:16" x14ac:dyDescent="0.2">
      <c r="N102" s="65"/>
      <c r="O102" s="65"/>
    </row>
    <row r="103" spans="5:16" x14ac:dyDescent="0.2">
      <c r="N103" s="65"/>
      <c r="O103" s="65"/>
    </row>
    <row r="104" spans="5:16" x14ac:dyDescent="0.2">
      <c r="N104" s="65"/>
      <c r="O104" s="65"/>
    </row>
    <row r="105" spans="5:16" x14ac:dyDescent="0.2">
      <c r="N105" s="65"/>
      <c r="O105" s="65"/>
    </row>
    <row r="106" spans="5:16" x14ac:dyDescent="0.2">
      <c r="N106" s="65"/>
      <c r="O106" s="65"/>
      <c r="P106" s="66"/>
    </row>
    <row r="107" spans="5:16" x14ac:dyDescent="0.2">
      <c r="N107" s="65"/>
      <c r="O107" s="65"/>
    </row>
    <row r="108" spans="5:16" x14ac:dyDescent="0.2">
      <c r="N108" s="65"/>
      <c r="O108" s="65"/>
      <c r="P108" s="66"/>
    </row>
    <row r="109" spans="5:16" x14ac:dyDescent="0.2">
      <c r="N109" s="65"/>
      <c r="O109" s="65"/>
    </row>
    <row r="110" spans="5:16" x14ac:dyDescent="0.2">
      <c r="N110" s="65"/>
      <c r="O110" s="65"/>
      <c r="P110" s="65"/>
    </row>
    <row r="111" spans="5:16" x14ac:dyDescent="0.2">
      <c r="N111" s="65"/>
      <c r="O111" s="65"/>
    </row>
    <row r="112" spans="5:16" x14ac:dyDescent="0.2">
      <c r="N112" s="65"/>
      <c r="O112" s="65"/>
    </row>
    <row r="113" spans="14:15" x14ac:dyDescent="0.2">
      <c r="N113" s="65"/>
      <c r="O113" s="65"/>
    </row>
    <row r="114" spans="14:15" x14ac:dyDescent="0.2">
      <c r="N114" s="65"/>
      <c r="O114" s="65"/>
    </row>
    <row r="115" spans="14:15" x14ac:dyDescent="0.2">
      <c r="N115" s="65"/>
      <c r="O115" s="65"/>
    </row>
    <row r="116" spans="14:15" x14ac:dyDescent="0.2">
      <c r="N116" s="65"/>
      <c r="O116" s="65"/>
    </row>
    <row r="117" spans="14:15" x14ac:dyDescent="0.2">
      <c r="N117" s="65"/>
      <c r="O117" s="65"/>
    </row>
    <row r="118" spans="14:15" x14ac:dyDescent="0.2">
      <c r="N118" s="65"/>
      <c r="O118" s="65"/>
    </row>
    <row r="119" spans="14:15" x14ac:dyDescent="0.2">
      <c r="N119" s="65"/>
      <c r="O119" s="65"/>
    </row>
    <row r="120" spans="14:15" x14ac:dyDescent="0.2">
      <c r="N120" s="65"/>
      <c r="O120" s="65"/>
    </row>
    <row r="121" spans="14:15" x14ac:dyDescent="0.2">
      <c r="N121" s="65"/>
      <c r="O121" s="65"/>
    </row>
    <row r="122" spans="14:15" x14ac:dyDescent="0.2">
      <c r="N122" s="65"/>
      <c r="O122" s="65"/>
    </row>
    <row r="123" spans="14:15" x14ac:dyDescent="0.2">
      <c r="N123" s="65"/>
      <c r="O123" s="65"/>
    </row>
    <row r="124" spans="14:15" x14ac:dyDescent="0.2">
      <c r="N124" s="65"/>
      <c r="O124" s="65"/>
    </row>
    <row r="125" spans="14:15" x14ac:dyDescent="0.2">
      <c r="N125" s="65"/>
      <c r="O125" s="65"/>
    </row>
    <row r="126" spans="14:15" x14ac:dyDescent="0.2">
      <c r="N126" s="65"/>
      <c r="O126" s="65"/>
    </row>
    <row r="127" spans="14:15" x14ac:dyDescent="0.2">
      <c r="N127" s="65"/>
      <c r="O127" s="65"/>
    </row>
    <row r="128" spans="14:15" x14ac:dyDescent="0.2">
      <c r="N128" s="65"/>
      <c r="O128" s="65"/>
    </row>
    <row r="129" spans="14:15" x14ac:dyDescent="0.2">
      <c r="N129" s="65"/>
      <c r="O129" s="65"/>
    </row>
    <row r="130" spans="14:15" x14ac:dyDescent="0.2">
      <c r="N130" s="65"/>
      <c r="O130" s="65"/>
    </row>
    <row r="131" spans="14:15" x14ac:dyDescent="0.2">
      <c r="N131" s="65"/>
      <c r="O131" s="65"/>
    </row>
    <row r="132" spans="14:15" x14ac:dyDescent="0.2">
      <c r="N132" s="65"/>
      <c r="O132" s="65"/>
    </row>
    <row r="133" spans="14:15" x14ac:dyDescent="0.2">
      <c r="N133" s="65"/>
      <c r="O133" s="65"/>
    </row>
    <row r="134" spans="14:15" x14ac:dyDescent="0.2">
      <c r="N134" s="65"/>
      <c r="O134" s="65"/>
    </row>
    <row r="135" spans="14:15" x14ac:dyDescent="0.2">
      <c r="N135" s="65"/>
      <c r="O135" s="65"/>
    </row>
    <row r="136" spans="14:15" x14ac:dyDescent="0.2">
      <c r="N136" s="65"/>
      <c r="O136" s="65"/>
    </row>
    <row r="137" spans="14:15" x14ac:dyDescent="0.2">
      <c r="N137" s="65"/>
      <c r="O137" s="65"/>
    </row>
    <row r="138" spans="14:15" x14ac:dyDescent="0.2">
      <c r="N138" s="65"/>
      <c r="O138" s="65"/>
    </row>
    <row r="139" spans="14:15" x14ac:dyDescent="0.2">
      <c r="N139" s="65"/>
      <c r="O139" s="65"/>
    </row>
    <row r="140" spans="14:15" x14ac:dyDescent="0.2">
      <c r="N140" s="65"/>
      <c r="O140" s="65"/>
    </row>
    <row r="141" spans="14:15" x14ac:dyDescent="0.2">
      <c r="N141" s="65"/>
      <c r="O141" s="65"/>
    </row>
    <row r="142" spans="14:15" x14ac:dyDescent="0.2">
      <c r="N142" s="65"/>
      <c r="O142" s="65"/>
    </row>
    <row r="143" spans="14:15" x14ac:dyDescent="0.2">
      <c r="N143" s="65"/>
      <c r="O143" s="65"/>
    </row>
    <row r="144" spans="14:15" x14ac:dyDescent="0.2">
      <c r="N144" s="65"/>
      <c r="O144" s="65"/>
    </row>
    <row r="145" spans="14:15" x14ac:dyDescent="0.2">
      <c r="N145" s="65"/>
      <c r="O145" s="65"/>
    </row>
    <row r="146" spans="14:15" x14ac:dyDescent="0.2">
      <c r="N146" s="65"/>
      <c r="O146" s="65"/>
    </row>
    <row r="147" spans="14:15" x14ac:dyDescent="0.2">
      <c r="N147" s="65"/>
      <c r="O147" s="65"/>
    </row>
    <row r="148" spans="14:15" x14ac:dyDescent="0.2">
      <c r="N148" s="65"/>
      <c r="O148" s="65"/>
    </row>
    <row r="149" spans="14:15" x14ac:dyDescent="0.2">
      <c r="N149" s="65"/>
      <c r="O149" s="65"/>
    </row>
    <row r="150" spans="14:15" x14ac:dyDescent="0.2">
      <c r="N150" s="65"/>
      <c r="O150" s="65"/>
    </row>
    <row r="151" spans="14:15" x14ac:dyDescent="0.2">
      <c r="N151" s="65"/>
      <c r="O151" s="65"/>
    </row>
    <row r="152" spans="14:15" x14ac:dyDescent="0.2">
      <c r="N152" s="65"/>
      <c r="O152" s="65"/>
    </row>
    <row r="153" spans="14:15" x14ac:dyDescent="0.2">
      <c r="N153" s="65"/>
      <c r="O153" s="65"/>
    </row>
    <row r="154" spans="14:15" x14ac:dyDescent="0.2">
      <c r="N154" s="65"/>
      <c r="O154" s="65"/>
    </row>
  </sheetData>
  <pageMargins left="0.25" right="0.25" top="1" bottom="0.5" header="0.5" footer="0.5"/>
  <pageSetup scale="67" orientation="landscape" verticalDpi="2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zoomScale="75" workbookViewId="0">
      <selection activeCell="A30" sqref="A30"/>
    </sheetView>
  </sheetViews>
  <sheetFormatPr defaultRowHeight="12.75" x14ac:dyDescent="0.2"/>
  <cols>
    <col min="1" max="1" width="4.7109375" customWidth="1"/>
    <col min="2" max="2" width="14.28515625" customWidth="1"/>
    <col min="3" max="7" width="12.28515625" customWidth="1"/>
    <col min="8" max="8" width="6" customWidth="1"/>
    <col min="9" max="11" width="12.28515625" customWidth="1"/>
    <col min="12" max="12" width="12.42578125" customWidth="1"/>
    <col min="13" max="14" width="11.140625" customWidth="1"/>
  </cols>
  <sheetData>
    <row r="1" spans="2:16" ht="23.25" x14ac:dyDescent="0.35">
      <c r="G1" s="755" t="s">
        <v>252</v>
      </c>
    </row>
    <row r="2" spans="2:16" x14ac:dyDescent="0.2">
      <c r="O2" s="139"/>
      <c r="P2" s="141"/>
    </row>
    <row r="3" spans="2:16" x14ac:dyDescent="0.2">
      <c r="C3" s="833">
        <v>1999</v>
      </c>
      <c r="D3" s="834"/>
      <c r="E3" s="834"/>
      <c r="F3" s="835"/>
      <c r="G3" s="146"/>
      <c r="H3" s="149"/>
      <c r="I3" s="833">
        <v>2000</v>
      </c>
      <c r="J3" s="834"/>
      <c r="K3" s="834"/>
      <c r="L3" s="835"/>
      <c r="O3" s="157"/>
      <c r="P3" s="214"/>
    </row>
    <row r="4" spans="2:16" x14ac:dyDescent="0.2">
      <c r="C4" s="147" t="s">
        <v>851</v>
      </c>
      <c r="D4" s="134" t="s">
        <v>852</v>
      </c>
      <c r="E4" s="134" t="s">
        <v>853</v>
      </c>
      <c r="F4" s="148" t="s">
        <v>854</v>
      </c>
      <c r="G4" s="728" t="s">
        <v>855</v>
      </c>
      <c r="I4" s="147" t="s">
        <v>851</v>
      </c>
      <c r="J4" s="134" t="s">
        <v>852</v>
      </c>
      <c r="K4" s="134" t="s">
        <v>853</v>
      </c>
      <c r="L4" s="148" t="s">
        <v>854</v>
      </c>
      <c r="M4" s="728" t="s">
        <v>855</v>
      </c>
      <c r="N4" s="728"/>
      <c r="O4" s="729" t="s">
        <v>856</v>
      </c>
      <c r="P4" s="214"/>
    </row>
    <row r="5" spans="2:16" x14ac:dyDescent="0.2">
      <c r="O5" s="157"/>
      <c r="P5" s="214"/>
    </row>
    <row r="6" spans="2:16" x14ac:dyDescent="0.2">
      <c r="B6" t="s">
        <v>857</v>
      </c>
      <c r="C6" s="730">
        <f>AVERAGE(C9:F9)</f>
        <v>3.3550489503356435</v>
      </c>
      <c r="I6" s="730">
        <f>AVERAGE(I9:L9)</f>
        <v>8.9999710998126226</v>
      </c>
      <c r="O6" s="157"/>
      <c r="P6" s="214"/>
    </row>
    <row r="7" spans="2:16" x14ac:dyDescent="0.2">
      <c r="B7" t="s">
        <v>858</v>
      </c>
      <c r="C7" s="264">
        <v>47398</v>
      </c>
      <c r="D7" s="264">
        <v>32385</v>
      </c>
      <c r="E7" s="264">
        <v>41450</v>
      </c>
      <c r="F7" s="264">
        <v>64239</v>
      </c>
      <c r="G7" s="731">
        <f>SUM(C7:F7)</f>
        <v>185472</v>
      </c>
      <c r="H7" s="264"/>
      <c r="I7" s="264">
        <v>87311</v>
      </c>
      <c r="J7" s="264">
        <v>30960</v>
      </c>
      <c r="K7" s="264">
        <v>62296</v>
      </c>
      <c r="L7" s="264">
        <v>111599</v>
      </c>
      <c r="M7" s="732">
        <f>SUM(I7:L7)</f>
        <v>292166</v>
      </c>
      <c r="O7" s="157"/>
      <c r="P7" s="214"/>
    </row>
    <row r="8" spans="2:16" x14ac:dyDescent="0.2">
      <c r="B8" t="s">
        <v>859</v>
      </c>
      <c r="C8" s="264">
        <v>0</v>
      </c>
      <c r="D8" s="264">
        <v>447</v>
      </c>
      <c r="E8" s="264">
        <v>0</v>
      </c>
      <c r="F8" s="264">
        <v>8561</v>
      </c>
      <c r="G8" s="733">
        <f>+F8</f>
        <v>8561</v>
      </c>
      <c r="H8" s="264"/>
      <c r="I8" s="264">
        <v>0</v>
      </c>
      <c r="J8" s="264">
        <v>353</v>
      </c>
      <c r="K8" s="264">
        <v>1479</v>
      </c>
      <c r="L8" s="264">
        <v>40106</v>
      </c>
      <c r="M8" s="724">
        <f>+L8</f>
        <v>40106</v>
      </c>
      <c r="O8" s="157"/>
      <c r="P8" s="214"/>
    </row>
    <row r="9" spans="2:16" x14ac:dyDescent="0.2">
      <c r="B9" t="s">
        <v>860</v>
      </c>
      <c r="C9" s="730">
        <v>0</v>
      </c>
      <c r="D9" s="730">
        <f>+(365/4)/(D7/D8)</f>
        <v>1.2594951366373321</v>
      </c>
      <c r="E9" s="730">
        <v>0</v>
      </c>
      <c r="F9" s="730">
        <f>+(365/4)/(F7/F8)</f>
        <v>12.160700664705242</v>
      </c>
      <c r="G9" s="725">
        <f>+(365)/(G7/G8)</f>
        <v>16.847637379227052</v>
      </c>
      <c r="I9" s="730">
        <v>0</v>
      </c>
      <c r="J9" s="730">
        <f>+(365/4)/(J7/J8)</f>
        <v>1.0404150516795867</v>
      </c>
      <c r="K9" s="730">
        <f>+(365/4)/(K7/K8)</f>
        <v>2.1664111660459739</v>
      </c>
      <c r="L9" s="730">
        <f>+(365/4)/(L7/L8)</f>
        <v>32.793058181524927</v>
      </c>
      <c r="M9" s="725">
        <f>+(365)/(M7/M8)</f>
        <v>50.104016209962829</v>
      </c>
      <c r="N9" s="734"/>
      <c r="O9" s="742">
        <f>+(C6+I6)/2</f>
        <v>6.1775100250741328</v>
      </c>
      <c r="P9" s="741"/>
    </row>
    <row r="10" spans="2:16" x14ac:dyDescent="0.2">
      <c r="G10" s="736"/>
      <c r="M10" s="736"/>
      <c r="O10" s="742"/>
      <c r="P10" s="741"/>
    </row>
    <row r="11" spans="2:16" x14ac:dyDescent="0.2">
      <c r="B11" t="s">
        <v>861</v>
      </c>
      <c r="C11" s="730">
        <f>AVERAGE(C14:F14)</f>
        <v>50.851601206301474</v>
      </c>
      <c r="G11" s="736"/>
      <c r="I11" s="730">
        <f>AVERAGE(I14:L14)</f>
        <v>72.121202681714749</v>
      </c>
      <c r="M11" s="736"/>
      <c r="O11" s="742"/>
      <c r="P11" s="741"/>
    </row>
    <row r="12" spans="2:16" x14ac:dyDescent="0.2">
      <c r="B12" t="s">
        <v>858</v>
      </c>
      <c r="C12" s="264">
        <v>13515</v>
      </c>
      <c r="D12" s="264">
        <v>8129</v>
      </c>
      <c r="E12" s="264">
        <v>6749</v>
      </c>
      <c r="F12" s="264">
        <v>20641</v>
      </c>
      <c r="G12" s="733">
        <f>SUM(C12:F12)</f>
        <v>49034</v>
      </c>
      <c r="H12" s="264"/>
      <c r="I12" s="264">
        <v>35683</v>
      </c>
      <c r="J12" s="264">
        <v>14921</v>
      </c>
      <c r="K12" s="264">
        <v>17045</v>
      </c>
      <c r="L12" s="264">
        <v>32146</v>
      </c>
      <c r="M12" s="724">
        <f>SUM(I12:L12)</f>
        <v>99795</v>
      </c>
      <c r="O12" s="742"/>
      <c r="P12" s="741"/>
    </row>
    <row r="13" spans="2:16" x14ac:dyDescent="0.2">
      <c r="B13" t="s">
        <v>859</v>
      </c>
      <c r="C13" s="264">
        <v>1925</v>
      </c>
      <c r="D13" s="264">
        <v>2160</v>
      </c>
      <c r="E13" s="264">
        <v>10988</v>
      </c>
      <c r="F13" s="264">
        <v>3981</v>
      </c>
      <c r="G13" s="733">
        <f>+F13</f>
        <v>3981</v>
      </c>
      <c r="H13" s="264"/>
      <c r="I13" s="264">
        <v>4121</v>
      </c>
      <c r="J13" s="264">
        <v>18013</v>
      </c>
      <c r="K13" s="264">
        <v>13416</v>
      </c>
      <c r="L13" s="264">
        <v>33807</v>
      </c>
      <c r="M13" s="724">
        <f>+L13</f>
        <v>33807</v>
      </c>
      <c r="N13" s="730"/>
      <c r="O13" s="742"/>
      <c r="P13" s="741"/>
    </row>
    <row r="14" spans="2:16" x14ac:dyDescent="0.2">
      <c r="B14" t="s">
        <v>860</v>
      </c>
      <c r="C14" s="730">
        <f>+(365/4)/(C12/C13)</f>
        <v>12.997132815390307</v>
      </c>
      <c r="D14" s="730">
        <f>+(365/4)/(D12/D13)</f>
        <v>24.246524787796776</v>
      </c>
      <c r="E14" s="730">
        <f>+(365/4)/(E12/E13)</f>
        <v>148.5634908875389</v>
      </c>
      <c r="F14" s="730">
        <f>+(365/4)/(F12/F13)</f>
        <v>17.599256334479918</v>
      </c>
      <c r="G14" s="725">
        <f>+(365)/(G12/G13)</f>
        <v>29.633825508830608</v>
      </c>
      <c r="I14" s="730">
        <f>+(365/4)/(I12/I13)</f>
        <v>10.538386626684975</v>
      </c>
      <c r="J14" s="730">
        <f>+(365/4)/(J12/J13)</f>
        <v>110.15925541183567</v>
      </c>
      <c r="K14" s="730">
        <f>+(365/4)/(K12/K13)</f>
        <v>71.822235259606927</v>
      </c>
      <c r="L14" s="730">
        <f>+(365/4)/(L12/L13)</f>
        <v>95.964933428731413</v>
      </c>
      <c r="M14" s="725">
        <f>+(365)/(M12/M13)</f>
        <v>123.64903051255072</v>
      </c>
      <c r="N14" s="734"/>
      <c r="O14" s="742">
        <f>+(C11+I11)/2</f>
        <v>61.486401944008108</v>
      </c>
      <c r="P14" s="741"/>
    </row>
    <row r="15" spans="2:16" x14ac:dyDescent="0.2">
      <c r="G15" s="736"/>
      <c r="M15" s="736"/>
      <c r="O15" s="742"/>
      <c r="P15" s="741"/>
    </row>
    <row r="16" spans="2:16" x14ac:dyDescent="0.2">
      <c r="B16" t="s">
        <v>862</v>
      </c>
      <c r="C16" s="730">
        <f>AVERAGE(C19:F19)</f>
        <v>10.014584531357119</v>
      </c>
      <c r="G16" s="736"/>
      <c r="I16" s="730">
        <f>AVERAGE(I19:L19)</f>
        <v>15.360056353359369</v>
      </c>
      <c r="M16" s="736"/>
      <c r="O16" s="742"/>
      <c r="P16" s="741"/>
    </row>
    <row r="17" spans="2:16" x14ac:dyDescent="0.2">
      <c r="B17" t="s">
        <v>858</v>
      </c>
      <c r="C17" s="264">
        <v>160232</v>
      </c>
      <c r="D17" s="264">
        <v>194987</v>
      </c>
      <c r="E17" s="264">
        <v>196776</v>
      </c>
      <c r="F17" s="264">
        <v>212065</v>
      </c>
      <c r="G17" s="733">
        <f>SUM(C17:F17)</f>
        <v>764060</v>
      </c>
      <c r="H17" s="264"/>
      <c r="I17" s="264">
        <v>278953</v>
      </c>
      <c r="J17" s="264">
        <v>269396</v>
      </c>
      <c r="K17" s="264">
        <v>365429</v>
      </c>
      <c r="L17" s="264">
        <v>355177</v>
      </c>
      <c r="M17" s="724">
        <f>SUM(I17:L17)</f>
        <v>1268955</v>
      </c>
      <c r="O17" s="742"/>
      <c r="P17" s="741"/>
    </row>
    <row r="18" spans="2:16" x14ac:dyDescent="0.2">
      <c r="B18" t="s">
        <v>859</v>
      </c>
      <c r="C18" s="264">
        <v>15842</v>
      </c>
      <c r="D18" s="264">
        <v>11982</v>
      </c>
      <c r="E18" s="264">
        <v>19350</v>
      </c>
      <c r="F18" s="264">
        <v>38244</v>
      </c>
      <c r="G18" s="733">
        <f>+F18</f>
        <v>38244</v>
      </c>
      <c r="H18" s="264"/>
      <c r="I18" s="264">
        <v>23098</v>
      </c>
      <c r="J18" s="264">
        <v>66703</v>
      </c>
      <c r="K18" s="264">
        <v>47307</v>
      </c>
      <c r="L18" s="264">
        <v>75815</v>
      </c>
      <c r="M18" s="724">
        <f>+L18</f>
        <v>75815</v>
      </c>
      <c r="O18" s="742"/>
      <c r="P18" s="741"/>
    </row>
    <row r="19" spans="2:16" x14ac:dyDescent="0.2">
      <c r="B19" t="s">
        <v>860</v>
      </c>
      <c r="C19" s="730">
        <f>+(365/4)/(C17/C18)</f>
        <v>9.0218090019471759</v>
      </c>
      <c r="D19" s="730">
        <f>+(365/4)/(D17/D18)</f>
        <v>5.6073353608189267</v>
      </c>
      <c r="E19" s="730">
        <f>+(365/4)/(E17/E18)</f>
        <v>8.9730836077570437</v>
      </c>
      <c r="F19" s="730">
        <f>+(365/4)/(F17/F18)</f>
        <v>16.456110154905335</v>
      </c>
      <c r="G19" s="725">
        <f>+(365)/(G17/G18)</f>
        <v>18.269586158155121</v>
      </c>
      <c r="I19" s="730">
        <f>+(365/4)/(I17/I18)</f>
        <v>7.5557262334515132</v>
      </c>
      <c r="J19" s="730">
        <f>+(365/4)/(J17/J18)</f>
        <v>22.593686431869813</v>
      </c>
      <c r="K19" s="730">
        <f>+(365/4)/(K17/K18)</f>
        <v>11.812865837139363</v>
      </c>
      <c r="L19" s="730">
        <f>+(365/4)/(L17/L18)</f>
        <v>19.47794691097678</v>
      </c>
      <c r="M19" s="725">
        <f>+(365)/(M17/M18)</f>
        <v>21.807294190889351</v>
      </c>
      <c r="N19" s="734"/>
      <c r="O19" s="742">
        <f>+(C16+I16)/2</f>
        <v>12.687320442358244</v>
      </c>
      <c r="P19" s="741"/>
    </row>
    <row r="20" spans="2:16" x14ac:dyDescent="0.2">
      <c r="G20" s="736"/>
      <c r="M20" s="736"/>
      <c r="O20" s="742"/>
      <c r="P20" s="741"/>
    </row>
    <row r="21" spans="2:16" x14ac:dyDescent="0.2">
      <c r="B21" t="s">
        <v>863</v>
      </c>
      <c r="C21" s="730">
        <f>AVERAGE(C24:F24)</f>
        <v>1.7908090230339071</v>
      </c>
      <c r="G21" s="736"/>
      <c r="I21" s="730">
        <f>AVERAGE(I24:L24)</f>
        <v>2.2476289537280003</v>
      </c>
      <c r="M21" s="736"/>
      <c r="O21" s="742"/>
      <c r="P21" s="741"/>
    </row>
    <row r="22" spans="2:16" x14ac:dyDescent="0.2">
      <c r="B22" t="s">
        <v>858</v>
      </c>
      <c r="C22" s="264">
        <v>81508</v>
      </c>
      <c r="D22" s="264">
        <v>113220</v>
      </c>
      <c r="E22" s="264">
        <v>114413</v>
      </c>
      <c r="F22" s="264">
        <v>91755</v>
      </c>
      <c r="G22" s="733">
        <f>SUM(C22:F22)</f>
        <v>400896</v>
      </c>
      <c r="H22" s="264"/>
      <c r="I22" s="264">
        <v>180873</v>
      </c>
      <c r="J22" s="264">
        <v>222055</v>
      </c>
      <c r="K22" s="264">
        <v>172943</v>
      </c>
      <c r="L22" s="264">
        <v>195314</v>
      </c>
      <c r="M22" s="724">
        <f>SUM(I22:L22)</f>
        <v>771185</v>
      </c>
      <c r="O22" s="742"/>
      <c r="P22" s="741"/>
    </row>
    <row r="23" spans="2:16" x14ac:dyDescent="0.2">
      <c r="B23" t="s">
        <v>859</v>
      </c>
      <c r="C23" s="264">
        <v>1535</v>
      </c>
      <c r="D23" s="264">
        <v>931</v>
      </c>
      <c r="E23" s="264">
        <v>3366</v>
      </c>
      <c r="F23" s="264">
        <v>2021</v>
      </c>
      <c r="G23" s="733">
        <f>+F23</f>
        <v>2021</v>
      </c>
      <c r="H23" s="264"/>
      <c r="I23" s="264">
        <v>5164</v>
      </c>
      <c r="J23" s="264">
        <v>2478</v>
      </c>
      <c r="K23" s="264">
        <v>4257</v>
      </c>
      <c r="L23" s="264">
        <v>6680</v>
      </c>
      <c r="M23" s="724">
        <f>+L23</f>
        <v>6680</v>
      </c>
      <c r="O23" s="742"/>
      <c r="P23" s="741"/>
    </row>
    <row r="24" spans="2:16" x14ac:dyDescent="0.2">
      <c r="B24" t="s">
        <v>860</v>
      </c>
      <c r="C24" s="730">
        <f>+(365/4)/(C22/C23)</f>
        <v>1.718466285517986</v>
      </c>
      <c r="D24" s="730">
        <f>+(365/4)/(D22/D23)</f>
        <v>0.75034225401872467</v>
      </c>
      <c r="E24" s="730">
        <f>+(365/4)/(E22/E23)</f>
        <v>2.6845507066504681</v>
      </c>
      <c r="F24" s="730">
        <f>+(365/4)/(F22/F23)</f>
        <v>2.0098768459484497</v>
      </c>
      <c r="G24" s="737">
        <f>+(365)/(G22/G23)</f>
        <v>1.8400408085887612</v>
      </c>
      <c r="I24" s="730">
        <f>+(365/4)/(I22/I23)</f>
        <v>2.6052257661453067</v>
      </c>
      <c r="J24" s="730">
        <f>+(365/4)/(J22/J23)</f>
        <v>1.0182950170002927</v>
      </c>
      <c r="K24" s="730">
        <f>+(365/4)/(K22/K23)</f>
        <v>2.246123000063605</v>
      </c>
      <c r="L24" s="730">
        <f>+(365/4)/(L22/L23)</f>
        <v>3.1208720317027963</v>
      </c>
      <c r="M24" s="737">
        <f>+(365)/(M22/M23)</f>
        <v>3.1616278843597838</v>
      </c>
      <c r="N24" s="734"/>
      <c r="O24" s="742">
        <f>+(C21+I21)/2</f>
        <v>2.0192189883809535</v>
      </c>
      <c r="P24" s="741"/>
    </row>
    <row r="25" spans="2:16" x14ac:dyDescent="0.2">
      <c r="O25" s="738"/>
      <c r="P25" s="214"/>
    </row>
    <row r="26" spans="2:16" x14ac:dyDescent="0.2">
      <c r="O26" s="738"/>
      <c r="P26" s="214"/>
    </row>
    <row r="27" spans="2:16" x14ac:dyDescent="0.2">
      <c r="B27" s="134"/>
      <c r="C27" s="134"/>
      <c r="D27" s="134"/>
      <c r="E27" s="134"/>
      <c r="F27" s="134"/>
      <c r="G27" s="134"/>
      <c r="H27" s="134"/>
      <c r="I27" s="134"/>
      <c r="J27" s="134"/>
      <c r="K27" s="134"/>
      <c r="L27" s="134"/>
      <c r="M27" s="134"/>
      <c r="N27" s="134"/>
      <c r="O27" s="739"/>
      <c r="P27" s="148"/>
    </row>
    <row r="28" spans="2:16" x14ac:dyDescent="0.2">
      <c r="C28" s="66">
        <f t="shared" ref="C28:F29" si="0">+C7+C12+C17+C22</f>
        <v>302653</v>
      </c>
      <c r="D28" s="66">
        <f t="shared" si="0"/>
        <v>348721</v>
      </c>
      <c r="E28" s="66">
        <f t="shared" si="0"/>
        <v>359388</v>
      </c>
      <c r="F28" s="66">
        <f t="shared" si="0"/>
        <v>388700</v>
      </c>
      <c r="G28" s="66">
        <f>SUM(C28:F28)</f>
        <v>1399462</v>
      </c>
      <c r="I28" s="66">
        <f t="shared" ref="I28:L29" si="1">+I7+I12+I17+I22</f>
        <v>582820</v>
      </c>
      <c r="J28" s="66">
        <f t="shared" si="1"/>
        <v>537332</v>
      </c>
      <c r="K28" s="66">
        <f t="shared" si="1"/>
        <v>617713</v>
      </c>
      <c r="L28" s="66">
        <f t="shared" si="1"/>
        <v>694236</v>
      </c>
      <c r="M28" s="66">
        <f>SUM(I28:L28)</f>
        <v>2432101</v>
      </c>
      <c r="O28" s="738"/>
      <c r="P28" s="214"/>
    </row>
    <row r="29" spans="2:16" x14ac:dyDescent="0.2">
      <c r="C29" s="66">
        <f t="shared" si="0"/>
        <v>19302</v>
      </c>
      <c r="D29" s="66">
        <f t="shared" si="0"/>
        <v>15520</v>
      </c>
      <c r="E29" s="66">
        <f t="shared" si="0"/>
        <v>33704</v>
      </c>
      <c r="F29" s="66">
        <f t="shared" si="0"/>
        <v>52807</v>
      </c>
      <c r="G29" s="66">
        <f>+F29</f>
        <v>52807</v>
      </c>
      <c r="I29" s="66">
        <f t="shared" si="1"/>
        <v>32383</v>
      </c>
      <c r="J29" s="66">
        <f t="shared" si="1"/>
        <v>87547</v>
      </c>
      <c r="K29" s="66">
        <f t="shared" si="1"/>
        <v>66459</v>
      </c>
      <c r="L29" s="66">
        <f t="shared" si="1"/>
        <v>156408</v>
      </c>
      <c r="M29" s="66">
        <f>+L29</f>
        <v>156408</v>
      </c>
      <c r="O29" s="738"/>
      <c r="P29" s="214"/>
    </row>
    <row r="30" spans="2:16" x14ac:dyDescent="0.2">
      <c r="C30" s="730">
        <f>+(365/4)/(C28/C29)</f>
        <v>5.8195606850089048</v>
      </c>
      <c r="D30" s="730">
        <f>+(365/4)/(D28/D29)</f>
        <v>4.0611262298513706</v>
      </c>
      <c r="E30" s="730">
        <f>+(365/4)/(E28/E29)</f>
        <v>8.5575756563936469</v>
      </c>
      <c r="F30" s="730">
        <f>+(365/4)/(F28/F29)</f>
        <v>12.396806663236429</v>
      </c>
      <c r="G30" s="730">
        <f>+(365)/(G28/G29)</f>
        <v>13.772831988292644</v>
      </c>
      <c r="H30" s="730"/>
      <c r="I30" s="730">
        <f>+(365/4)/(I28/I29)</f>
        <v>5.0700881061048007</v>
      </c>
      <c r="J30" s="730">
        <f>+(365/4)/(J28/J29)</f>
        <v>14.867277121035039</v>
      </c>
      <c r="K30" s="730">
        <f>+(365/4)/(K28/K29)</f>
        <v>9.8174779387838687</v>
      </c>
      <c r="L30" s="730">
        <f>+(365/4)/(L28/L29)</f>
        <v>20.558181943892279</v>
      </c>
      <c r="M30" s="730">
        <f>+(365)/(M28/M29)</f>
        <v>23.473087671934678</v>
      </c>
      <c r="N30" s="730"/>
      <c r="O30" s="735">
        <f>+(G30+M30)/2</f>
        <v>18.622959830113661</v>
      </c>
      <c r="P30" s="214"/>
    </row>
    <row r="31" spans="2:16" x14ac:dyDescent="0.2">
      <c r="O31" s="157"/>
      <c r="P31" s="214"/>
    </row>
    <row r="32" spans="2:16" x14ac:dyDescent="0.2">
      <c r="O32" s="147"/>
      <c r="P32" s="148"/>
    </row>
    <row r="35" spans="15:15" x14ac:dyDescent="0.2">
      <c r="O35" s="740"/>
    </row>
  </sheetData>
  <mergeCells count="2">
    <mergeCell ref="C3:F3"/>
    <mergeCell ref="I3:L3"/>
  </mergeCells>
  <pageMargins left="0.75" right="0.75" top="1" bottom="1" header="0.5" footer="0.5"/>
  <pageSetup scale="70" orientation="landscape"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
  <sheetViews>
    <sheetView zoomScale="75" zoomScaleNormal="75" workbookViewId="0">
      <selection activeCell="B33" sqref="B33"/>
    </sheetView>
  </sheetViews>
  <sheetFormatPr defaultRowHeight="12.75" x14ac:dyDescent="0.2"/>
  <cols>
    <col min="1" max="1" width="1.85546875" customWidth="1"/>
    <col min="2" max="2" width="12" customWidth="1"/>
    <col min="3" max="3" width="12.5703125" customWidth="1"/>
    <col min="4" max="4" width="5.85546875" customWidth="1"/>
    <col min="5" max="5" width="26.28515625" customWidth="1"/>
    <col min="6" max="6" width="26.7109375" customWidth="1"/>
    <col min="7" max="7" width="13.7109375" customWidth="1"/>
    <col min="8" max="8" width="11.140625" customWidth="1"/>
    <col min="10" max="10" width="7.7109375" customWidth="1"/>
    <col min="11" max="11" width="15" customWidth="1"/>
    <col min="13" max="13" width="10.140625" customWidth="1"/>
  </cols>
  <sheetData>
    <row r="1" spans="1:14" ht="21" thickBot="1" x14ac:dyDescent="0.35">
      <c r="A1" s="365" t="s">
        <v>518</v>
      </c>
      <c r="B1" s="366"/>
      <c r="C1" s="366"/>
      <c r="D1" s="367"/>
      <c r="E1" s="367"/>
      <c r="F1" s="367"/>
      <c r="G1" s="360"/>
      <c r="H1" s="367"/>
      <c r="I1" s="367"/>
      <c r="J1" s="360"/>
      <c r="K1" s="774" t="s">
        <v>792</v>
      </c>
      <c r="L1" s="360"/>
      <c r="M1" s="360"/>
      <c r="N1" s="110"/>
    </row>
    <row r="2" spans="1:14" x14ac:dyDescent="0.2">
      <c r="A2" s="110"/>
      <c r="B2" s="323"/>
      <c r="C2" s="322"/>
      <c r="D2" s="322"/>
      <c r="E2" s="322"/>
      <c r="F2" s="110"/>
      <c r="G2" s="110"/>
      <c r="H2" s="110"/>
      <c r="I2" s="110"/>
      <c r="J2" s="110"/>
      <c r="K2" s="110"/>
      <c r="L2" s="110"/>
      <c r="M2" s="110"/>
      <c r="N2" s="110"/>
    </row>
    <row r="3" spans="1:14" ht="15.75" x14ac:dyDescent="0.25">
      <c r="A3" s="110"/>
      <c r="B3" s="110"/>
      <c r="C3" s="110"/>
      <c r="D3" s="110"/>
      <c r="E3" s="110"/>
      <c r="F3" s="110"/>
      <c r="G3" s="110"/>
      <c r="H3" s="110"/>
      <c r="I3" s="110"/>
      <c r="J3" s="110"/>
      <c r="K3" s="587" t="s">
        <v>656</v>
      </c>
      <c r="L3" s="110"/>
      <c r="M3" s="110"/>
      <c r="N3" s="110"/>
    </row>
    <row r="4" spans="1:14" x14ac:dyDescent="0.2">
      <c r="A4" s="110"/>
      <c r="F4" s="219"/>
      <c r="G4" s="110"/>
      <c r="H4" s="110"/>
      <c r="I4" s="110"/>
      <c r="J4" s="110"/>
      <c r="K4" s="110"/>
      <c r="L4" s="110"/>
      <c r="M4" s="110"/>
      <c r="N4" s="110"/>
    </row>
    <row r="5" spans="1:14" x14ac:dyDescent="0.2">
      <c r="A5" s="110"/>
      <c r="F5" s="219"/>
      <c r="G5" s="110"/>
      <c r="H5" s="110"/>
      <c r="I5" s="110"/>
      <c r="J5" s="110"/>
      <c r="K5" s="110"/>
      <c r="L5" s="110"/>
      <c r="M5" s="110"/>
      <c r="N5" s="110"/>
    </row>
    <row r="6" spans="1:14" x14ac:dyDescent="0.2">
      <c r="A6" s="110"/>
      <c r="F6" s="219"/>
      <c r="G6" s="110"/>
      <c r="H6" s="110"/>
      <c r="I6" s="110"/>
      <c r="J6" s="110"/>
      <c r="K6" s="110"/>
      <c r="L6" s="110"/>
      <c r="M6" s="110"/>
      <c r="N6" s="110"/>
    </row>
    <row r="7" spans="1:14" x14ac:dyDescent="0.2">
      <c r="A7" s="110"/>
      <c r="F7" s="219"/>
      <c r="G7" s="110"/>
      <c r="H7" s="110"/>
      <c r="I7" s="110"/>
      <c r="J7" s="110"/>
      <c r="K7" s="110"/>
      <c r="L7" s="110"/>
      <c r="M7" s="110"/>
      <c r="N7" s="110"/>
    </row>
    <row r="8" spans="1:14" x14ac:dyDescent="0.2">
      <c r="A8" s="110"/>
      <c r="F8" s="110"/>
      <c r="G8" s="110"/>
      <c r="H8" s="110"/>
      <c r="I8" s="110"/>
      <c r="J8" s="110"/>
      <c r="K8" s="110"/>
      <c r="L8" s="110"/>
      <c r="M8" s="110"/>
      <c r="N8" s="110"/>
    </row>
    <row r="9" spans="1:14" ht="20.25" x14ac:dyDescent="0.25">
      <c r="A9" s="110"/>
      <c r="E9" s="478"/>
      <c r="F9" s="478"/>
      <c r="G9" s="823"/>
      <c r="H9" s="823"/>
      <c r="I9" s="110"/>
    </row>
    <row r="10" spans="1:14" ht="18" x14ac:dyDescent="0.25">
      <c r="A10" s="110"/>
      <c r="D10" s="479" t="s">
        <v>904</v>
      </c>
      <c r="E10" s="309"/>
      <c r="F10" s="309"/>
      <c r="G10" s="309"/>
      <c r="H10" s="479"/>
      <c r="I10" s="219"/>
    </row>
    <row r="11" spans="1:14" ht="18" x14ac:dyDescent="0.25">
      <c r="A11" s="110"/>
      <c r="D11" s="479" t="s">
        <v>946</v>
      </c>
      <c r="F11" s="479"/>
      <c r="G11" s="480"/>
      <c r="I11" s="636">
        <f ca="1">'Sea-3 NH '!D34/1000</f>
        <v>24.145862525677021</v>
      </c>
    </row>
    <row r="12" spans="1:14" ht="18" x14ac:dyDescent="0.25">
      <c r="A12" s="110"/>
      <c r="D12" s="420" t="s">
        <v>947</v>
      </c>
      <c r="F12" s="479"/>
      <c r="G12" s="479"/>
      <c r="I12" s="788"/>
    </row>
    <row r="13" spans="1:14" ht="18" x14ac:dyDescent="0.25">
      <c r="A13" s="110"/>
      <c r="D13" s="479"/>
      <c r="F13" s="479"/>
      <c r="G13" s="479"/>
      <c r="I13" s="788"/>
    </row>
    <row r="14" spans="1:14" ht="20.25" x14ac:dyDescent="0.4">
      <c r="A14" s="110"/>
      <c r="D14" s="479" t="s">
        <v>948</v>
      </c>
      <c r="F14" s="479"/>
      <c r="G14" s="481"/>
      <c r="I14" s="789">
        <f ca="1">+'Sea-3 Tampa'!D34/1000</f>
        <v>27.883475997714822</v>
      </c>
    </row>
    <row r="15" spans="1:14" ht="18" x14ac:dyDescent="0.25">
      <c r="A15" s="110"/>
      <c r="D15" s="420" t="s">
        <v>947</v>
      </c>
      <c r="F15" s="479"/>
      <c r="G15" s="479"/>
      <c r="I15" s="788"/>
    </row>
    <row r="16" spans="1:14" ht="18" x14ac:dyDescent="0.25">
      <c r="A16" s="110"/>
      <c r="D16" s="420"/>
      <c r="F16" s="479"/>
      <c r="G16" s="479"/>
      <c r="I16" s="788"/>
    </row>
    <row r="17" spans="1:9" ht="20.25" x14ac:dyDescent="0.4">
      <c r="A17" s="110"/>
      <c r="D17" s="479" t="s">
        <v>805</v>
      </c>
      <c r="F17" s="479"/>
      <c r="G17" s="481"/>
      <c r="I17" s="790">
        <f ca="1">'Rail Ops'!D31/1000</f>
        <v>23.779965131541118</v>
      </c>
    </row>
    <row r="18" spans="1:9" ht="18" x14ac:dyDescent="0.25">
      <c r="A18" s="110"/>
      <c r="D18" s="420" t="s">
        <v>947</v>
      </c>
      <c r="F18" s="479"/>
      <c r="G18" s="479"/>
      <c r="I18" s="788"/>
    </row>
    <row r="19" spans="1:9" ht="18" x14ac:dyDescent="0.25">
      <c r="A19" s="110"/>
      <c r="D19" s="479"/>
      <c r="F19" s="479"/>
      <c r="G19" s="479"/>
      <c r="I19" s="788"/>
    </row>
    <row r="20" spans="1:9" ht="18" x14ac:dyDescent="0.25">
      <c r="A20" s="110"/>
      <c r="D20" s="490" t="s">
        <v>785</v>
      </c>
      <c r="F20" s="490"/>
      <c r="G20" s="641"/>
      <c r="I20" s="640">
        <f ca="1">+I11+I14+I17</f>
        <v>75.809303654932961</v>
      </c>
    </row>
    <row r="21" spans="1:9" ht="18" x14ac:dyDescent="0.25">
      <c r="A21" s="110"/>
      <c r="D21" s="479"/>
      <c r="F21" s="479"/>
      <c r="G21" s="479"/>
      <c r="I21" s="788"/>
    </row>
    <row r="22" spans="1:9" ht="20.25" x14ac:dyDescent="0.4">
      <c r="A22" s="110"/>
      <c r="D22" s="479" t="s">
        <v>905</v>
      </c>
      <c r="F22" s="479"/>
      <c r="I22" s="798">
        <v>-20</v>
      </c>
    </row>
    <row r="23" spans="1:9" ht="18" x14ac:dyDescent="0.25">
      <c r="A23" s="110"/>
      <c r="D23" s="479"/>
      <c r="F23" s="479"/>
      <c r="G23" s="479"/>
      <c r="I23" s="788"/>
    </row>
    <row r="24" spans="1:9" ht="18" x14ac:dyDescent="0.25">
      <c r="A24" s="110"/>
      <c r="D24" s="479" t="s">
        <v>786</v>
      </c>
      <c r="F24" s="482"/>
      <c r="G24" s="483"/>
      <c r="I24" s="638">
        <f ca="1">I20+I22</f>
        <v>55.809303654932961</v>
      </c>
    </row>
    <row r="25" spans="1:9" ht="18" x14ac:dyDescent="0.25">
      <c r="A25" s="110"/>
      <c r="E25" s="479"/>
      <c r="F25" s="479"/>
      <c r="G25" s="479"/>
      <c r="H25" s="637"/>
      <c r="I25" s="110"/>
    </row>
    <row r="26" spans="1:9" ht="18" x14ac:dyDescent="0.25">
      <c r="A26" s="110"/>
      <c r="B26" s="219"/>
      <c r="E26" s="490"/>
      <c r="F26" s="490"/>
      <c r="G26" s="491"/>
      <c r="H26" s="639"/>
      <c r="I26" s="110"/>
    </row>
    <row r="27" spans="1:9" ht="18" x14ac:dyDescent="0.25">
      <c r="E27" s="171"/>
      <c r="F27" s="171"/>
      <c r="G27" s="309"/>
      <c r="H27" s="640"/>
    </row>
    <row r="28" spans="1:9" ht="15" x14ac:dyDescent="0.2">
      <c r="E28" s="307"/>
      <c r="F28" s="307"/>
      <c r="G28" s="307"/>
      <c r="H28" s="307"/>
    </row>
  </sheetData>
  <mergeCells count="1">
    <mergeCell ref="G9:H9"/>
  </mergeCells>
  <printOptions horizontalCentered="1"/>
  <pageMargins left="0.75" right="0.75" top="0.53" bottom="1" header="0.5" footer="0.5"/>
  <pageSetup scale="87" orientation="landscape" verticalDpi="200" r:id="rId1"/>
  <headerFooter alignWithMargins="0">
    <oddFooter>&amp;L&amp;7&amp;D &amp;T&amp;C&amp;8&amp;P&amp;R&amp;7o:/Corpdev/North America/Raul/Ammonia/&amp;F</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zoomScale="75" workbookViewId="0">
      <selection activeCell="G1" sqref="G1"/>
    </sheetView>
  </sheetViews>
  <sheetFormatPr defaultRowHeight="12.75" x14ac:dyDescent="0.2"/>
  <cols>
    <col min="1" max="1" width="4.7109375" customWidth="1"/>
    <col min="2" max="2" width="14.28515625" bestFit="1" customWidth="1"/>
    <col min="3" max="6" width="12.28515625" bestFit="1" customWidth="1"/>
    <col min="7" max="7" width="12.28515625" customWidth="1"/>
    <col min="8" max="8" width="6" customWidth="1"/>
    <col min="9" max="11" width="12.28515625" bestFit="1" customWidth="1"/>
    <col min="12" max="12" width="12.42578125" bestFit="1" customWidth="1"/>
    <col min="13" max="14" width="11.140625" customWidth="1"/>
  </cols>
  <sheetData>
    <row r="1" spans="2:16" ht="23.25" x14ac:dyDescent="0.35">
      <c r="B1" s="755"/>
      <c r="G1" s="755" t="s">
        <v>406</v>
      </c>
    </row>
    <row r="2" spans="2:16" x14ac:dyDescent="0.2">
      <c r="O2" s="139"/>
      <c r="P2" s="141"/>
    </row>
    <row r="3" spans="2:16" x14ac:dyDescent="0.2">
      <c r="C3" s="833">
        <v>1999</v>
      </c>
      <c r="D3" s="834"/>
      <c r="E3" s="834"/>
      <c r="F3" s="835"/>
      <c r="G3" s="146"/>
      <c r="H3" s="149"/>
      <c r="I3" s="833">
        <v>2000</v>
      </c>
      <c r="J3" s="834"/>
      <c r="K3" s="834"/>
      <c r="L3" s="835"/>
      <c r="O3" s="157"/>
      <c r="P3" s="214"/>
    </row>
    <row r="4" spans="2:16" x14ac:dyDescent="0.2">
      <c r="C4" s="147" t="s">
        <v>851</v>
      </c>
      <c r="D4" s="134" t="s">
        <v>852</v>
      </c>
      <c r="E4" s="134" t="s">
        <v>853</v>
      </c>
      <c r="F4" s="148" t="s">
        <v>854</v>
      </c>
      <c r="G4" s="728" t="s">
        <v>855</v>
      </c>
      <c r="I4" s="147" t="s">
        <v>851</v>
      </c>
      <c r="J4" s="134" t="s">
        <v>852</v>
      </c>
      <c r="K4" s="134" t="s">
        <v>853</v>
      </c>
      <c r="L4" s="148" t="s">
        <v>854</v>
      </c>
      <c r="M4" s="728" t="s">
        <v>855</v>
      </c>
      <c r="N4" s="728"/>
      <c r="O4" s="729" t="s">
        <v>856</v>
      </c>
      <c r="P4" s="214"/>
    </row>
    <row r="5" spans="2:16" x14ac:dyDescent="0.2">
      <c r="O5" s="157"/>
      <c r="P5" s="214"/>
    </row>
    <row r="6" spans="2:16" x14ac:dyDescent="0.2">
      <c r="B6" t="s">
        <v>857</v>
      </c>
      <c r="C6" s="730">
        <f>AVERAGE(C9:F9)</f>
        <v>20.586825307524336</v>
      </c>
      <c r="I6" s="730">
        <f>AVERAGE(I9:L9)</f>
        <v>15.27932412235157</v>
      </c>
      <c r="O6" s="157"/>
      <c r="P6" s="214"/>
    </row>
    <row r="7" spans="2:16" x14ac:dyDescent="0.2">
      <c r="B7" t="s">
        <v>858</v>
      </c>
      <c r="C7" s="264">
        <v>47398</v>
      </c>
      <c r="D7" s="264">
        <v>32385</v>
      </c>
      <c r="E7" s="264">
        <v>41450</v>
      </c>
      <c r="F7" s="264">
        <v>64239</v>
      </c>
      <c r="G7" s="731">
        <f>SUM(C7:F7)</f>
        <v>185472</v>
      </c>
      <c r="H7" s="264"/>
      <c r="I7" s="264">
        <v>87311</v>
      </c>
      <c r="J7" s="264">
        <v>30960</v>
      </c>
      <c r="K7" s="264">
        <v>62296</v>
      </c>
      <c r="L7" s="264">
        <v>111599</v>
      </c>
      <c r="M7" s="732">
        <f>SUM(I7:L7)</f>
        <v>292166</v>
      </c>
      <c r="O7" s="157"/>
      <c r="P7" s="214"/>
    </row>
    <row r="8" spans="2:16" x14ac:dyDescent="0.2">
      <c r="B8" t="s">
        <v>864</v>
      </c>
      <c r="C8" s="264">
        <v>4821</v>
      </c>
      <c r="D8" s="264">
        <v>11373</v>
      </c>
      <c r="E8" s="264">
        <v>10857</v>
      </c>
      <c r="F8" s="264">
        <v>12052</v>
      </c>
      <c r="G8" s="733">
        <f>+F8</f>
        <v>12052</v>
      </c>
      <c r="H8" s="264"/>
      <c r="I8" s="264">
        <v>6297</v>
      </c>
      <c r="J8" s="264">
        <v>4500</v>
      </c>
      <c r="K8" s="264">
        <v>15294</v>
      </c>
      <c r="L8" s="264">
        <v>23079</v>
      </c>
      <c r="M8" s="724">
        <f>+L8</f>
        <v>23079</v>
      </c>
      <c r="O8" s="157"/>
      <c r="P8" s="214"/>
    </row>
    <row r="9" spans="2:16" x14ac:dyDescent="0.2">
      <c r="B9" t="s">
        <v>860</v>
      </c>
      <c r="C9" s="730">
        <f>+(365/4)/(C7/C8)</f>
        <v>9.2813251613992165</v>
      </c>
      <c r="D9" s="730">
        <f>+(365/4)/(D7/D8)</f>
        <v>32.045275590551178</v>
      </c>
      <c r="E9" s="730">
        <f>+(365/4)/(E7/E8)</f>
        <v>23.90111580217129</v>
      </c>
      <c r="F9" s="730">
        <f>+(365/4)/(F7/F8)</f>
        <v>17.119584675975656</v>
      </c>
      <c r="G9" s="725">
        <f>+(365)/(G7/G8)</f>
        <v>23.717757936507937</v>
      </c>
      <c r="I9" s="730">
        <f>+(365/4)/(I7/I8)</f>
        <v>6.5810865755746697</v>
      </c>
      <c r="J9" s="730">
        <f>+(365/4)/(J7/J8)</f>
        <v>13.263081395348838</v>
      </c>
      <c r="K9" s="730">
        <f>+(365/4)/(K7/K8)</f>
        <v>22.40236130730705</v>
      </c>
      <c r="L9" s="730">
        <f>+(365/4)/(L7/L8)</f>
        <v>18.870767211175725</v>
      </c>
      <c r="M9" s="725">
        <f>+(365)/(M7/M8)</f>
        <v>28.832359001389619</v>
      </c>
      <c r="N9" s="730"/>
      <c r="O9" s="742">
        <f>+(C6+I6)/2</f>
        <v>17.933074714937952</v>
      </c>
      <c r="P9" s="741"/>
    </row>
    <row r="10" spans="2:16" x14ac:dyDescent="0.2">
      <c r="G10" s="736"/>
      <c r="M10" s="736"/>
      <c r="O10" s="742"/>
      <c r="P10" s="741"/>
    </row>
    <row r="11" spans="2:16" x14ac:dyDescent="0.2">
      <c r="B11" t="s">
        <v>861</v>
      </c>
      <c r="C11" s="730">
        <f>AVERAGE(C14:F14)</f>
        <v>35.400130554897181</v>
      </c>
      <c r="G11" s="736"/>
      <c r="I11" s="730">
        <f>AVERAGE(I14:L14)</f>
        <v>32.189346081014094</v>
      </c>
      <c r="M11" s="736"/>
      <c r="O11" s="742"/>
      <c r="P11" s="741"/>
    </row>
    <row r="12" spans="2:16" x14ac:dyDescent="0.2">
      <c r="B12" t="s">
        <v>858</v>
      </c>
      <c r="C12" s="264">
        <v>13515</v>
      </c>
      <c r="D12" s="264">
        <v>8129</v>
      </c>
      <c r="E12" s="264">
        <v>6749</v>
      </c>
      <c r="F12" s="264">
        <v>20641</v>
      </c>
      <c r="G12" s="733">
        <f>SUM(C12:F12)</f>
        <v>49034</v>
      </c>
      <c r="H12" s="264"/>
      <c r="I12" s="264">
        <v>35683</v>
      </c>
      <c r="J12" s="264">
        <v>14921</v>
      </c>
      <c r="K12" s="264">
        <v>17045</v>
      </c>
      <c r="L12" s="264">
        <v>32146</v>
      </c>
      <c r="M12" s="724">
        <f>SUM(I12:L12)</f>
        <v>99795</v>
      </c>
      <c r="O12" s="742"/>
      <c r="P12" s="741"/>
    </row>
    <row r="13" spans="2:16" x14ac:dyDescent="0.2">
      <c r="B13" t="s">
        <v>864</v>
      </c>
      <c r="C13" s="264">
        <v>3735</v>
      </c>
      <c r="D13" s="264">
        <v>2379</v>
      </c>
      <c r="E13" s="264">
        <v>4049</v>
      </c>
      <c r="F13" s="264">
        <v>7902</v>
      </c>
      <c r="G13" s="733">
        <f>+F13</f>
        <v>7902</v>
      </c>
      <c r="H13" s="264"/>
      <c r="I13" s="264">
        <v>8261</v>
      </c>
      <c r="J13" s="264">
        <v>2672</v>
      </c>
      <c r="K13" s="264">
        <v>7448</v>
      </c>
      <c r="L13" s="264">
        <v>18114</v>
      </c>
      <c r="M13" s="724">
        <f>+L13</f>
        <v>18114</v>
      </c>
      <c r="N13" s="730"/>
      <c r="O13" s="742"/>
      <c r="P13" s="741"/>
    </row>
    <row r="14" spans="2:16" x14ac:dyDescent="0.2">
      <c r="B14" t="s">
        <v>860</v>
      </c>
      <c r="C14" s="730">
        <f>+(365/4)/(C12/C13)</f>
        <v>25.217813540510544</v>
      </c>
      <c r="D14" s="730">
        <f>+(365/4)/(D12/D13)</f>
        <v>26.704852995448395</v>
      </c>
      <c r="E14" s="730">
        <f>+(365/4)/(E12/E13)</f>
        <v>54.7445917913765</v>
      </c>
      <c r="F14" s="730">
        <f>+(365/4)/(F12/F13)</f>
        <v>34.933263892253279</v>
      </c>
      <c r="G14" s="725">
        <f>+(365)/(G12/G13)</f>
        <v>58.821022147897381</v>
      </c>
      <c r="I14" s="730">
        <f>+(365/4)/(I12/I13)</f>
        <v>21.125360816074885</v>
      </c>
      <c r="J14" s="730">
        <f>+(365/4)/(J12/J13)</f>
        <v>16.340727833255144</v>
      </c>
      <c r="K14" s="730">
        <f>+(365/4)/(K12/K13)</f>
        <v>39.872689938398352</v>
      </c>
      <c r="L14" s="730">
        <f>+(365/4)/(L12/L13)</f>
        <v>51.418605736328004</v>
      </c>
      <c r="M14" s="725">
        <f>+(365)/(M12/M13)</f>
        <v>66.251916428678797</v>
      </c>
      <c r="N14" s="730"/>
      <c r="O14" s="742">
        <f>+(C11+I11)/2</f>
        <v>33.794738317955634</v>
      </c>
      <c r="P14" s="741"/>
    </row>
    <row r="15" spans="2:16" x14ac:dyDescent="0.2">
      <c r="G15" s="736"/>
      <c r="M15" s="736"/>
      <c r="O15" s="742"/>
      <c r="P15" s="741"/>
    </row>
    <row r="16" spans="2:16" x14ac:dyDescent="0.2">
      <c r="B16" t="s">
        <v>862</v>
      </c>
      <c r="C16" s="730">
        <f>AVERAGE(C19:F19)</f>
        <v>63.413583102784983</v>
      </c>
      <c r="G16" s="736"/>
      <c r="I16" s="730">
        <f>AVERAGE(I19:L19)</f>
        <v>70.285754941352153</v>
      </c>
      <c r="M16" s="736"/>
      <c r="O16" s="742"/>
      <c r="P16" s="741"/>
    </row>
    <row r="17" spans="2:16" x14ac:dyDescent="0.2">
      <c r="B17" t="s">
        <v>858</v>
      </c>
      <c r="C17" s="264">
        <v>160232</v>
      </c>
      <c r="D17" s="264">
        <v>194987</v>
      </c>
      <c r="E17" s="264">
        <v>196776</v>
      </c>
      <c r="F17" s="264">
        <v>212065</v>
      </c>
      <c r="G17" s="733">
        <f>SUM(C17:F17)</f>
        <v>764060</v>
      </c>
      <c r="H17" s="264"/>
      <c r="I17" s="264">
        <v>278953</v>
      </c>
      <c r="J17" s="264">
        <v>269396</v>
      </c>
      <c r="K17" s="264">
        <v>365429</v>
      </c>
      <c r="L17" s="264">
        <v>355177</v>
      </c>
      <c r="M17" s="724">
        <f>SUM(I17:L17)</f>
        <v>1268955</v>
      </c>
      <c r="O17" s="742"/>
      <c r="P17" s="741"/>
    </row>
    <row r="18" spans="2:16" x14ac:dyDescent="0.2">
      <c r="B18" t="s">
        <v>864</v>
      </c>
      <c r="C18" s="264">
        <v>135011</v>
      </c>
      <c r="D18" s="264">
        <v>126869</v>
      </c>
      <c r="E18" s="264">
        <v>120409</v>
      </c>
      <c r="F18" s="264">
        <v>143062</v>
      </c>
      <c r="G18" s="733">
        <f>+F18</f>
        <v>143062</v>
      </c>
      <c r="H18" s="264"/>
      <c r="I18" s="264">
        <v>239753</v>
      </c>
      <c r="J18" s="264">
        <v>200137</v>
      </c>
      <c r="K18" s="264">
        <v>243700</v>
      </c>
      <c r="L18" s="264">
        <v>288314</v>
      </c>
      <c r="M18" s="724">
        <f>+L18</f>
        <v>288314</v>
      </c>
      <c r="O18" s="742"/>
      <c r="P18" s="741"/>
    </row>
    <row r="19" spans="2:16" x14ac:dyDescent="0.2">
      <c r="B19" t="s">
        <v>860</v>
      </c>
      <c r="C19" s="730">
        <f>+(365/4)/(C17/C18)</f>
        <v>76.886974824005193</v>
      </c>
      <c r="D19" s="730">
        <f>+(365/4)/(D17/D18)</f>
        <v>59.372144040371921</v>
      </c>
      <c r="E19" s="730">
        <f>+(365/4)/(E17/E18)</f>
        <v>55.836693753303244</v>
      </c>
      <c r="F19" s="730">
        <f>+(365/4)/(F17/F18)</f>
        <v>61.558519793459553</v>
      </c>
      <c r="G19" s="725">
        <f>+(365)/(G17/G18)</f>
        <v>68.342316048477869</v>
      </c>
      <c r="I19" s="730">
        <f>+(365/4)/(I17/I18)</f>
        <v>78.42705133122783</v>
      </c>
      <c r="J19" s="730">
        <f>+(365/4)/(J17/J18)</f>
        <v>67.790543475033033</v>
      </c>
      <c r="K19" s="730">
        <f>+(365/4)/(K17/K18)</f>
        <v>60.853476325086405</v>
      </c>
      <c r="L19" s="730">
        <f>+(365/4)/(L17/L18)</f>
        <v>74.071948634061329</v>
      </c>
      <c r="M19" s="725">
        <f>+(365)/(M17/M18)</f>
        <v>82.930135426394145</v>
      </c>
      <c r="N19" s="730"/>
      <c r="O19" s="742">
        <f>+(C16+I16)/2</f>
        <v>66.849669022068568</v>
      </c>
      <c r="P19" s="741"/>
    </row>
    <row r="20" spans="2:16" x14ac:dyDescent="0.2">
      <c r="G20" s="736"/>
      <c r="M20" s="736"/>
      <c r="O20" s="742"/>
      <c r="P20" s="741"/>
    </row>
    <row r="21" spans="2:16" x14ac:dyDescent="0.2">
      <c r="B21" t="s">
        <v>863</v>
      </c>
      <c r="C21" s="730">
        <f>AVERAGE(C24:F24)</f>
        <v>20.51832373535585</v>
      </c>
      <c r="G21" s="736"/>
      <c r="I21" s="730">
        <f>AVERAGE(I24:L24)</f>
        <v>18.14482386032493</v>
      </c>
      <c r="M21" s="736"/>
      <c r="O21" s="742"/>
      <c r="P21" s="741"/>
    </row>
    <row r="22" spans="2:16" x14ac:dyDescent="0.2">
      <c r="B22" t="s">
        <v>858</v>
      </c>
      <c r="C22" s="264">
        <v>81508</v>
      </c>
      <c r="D22" s="264">
        <v>113220</v>
      </c>
      <c r="E22" s="264">
        <v>114413</v>
      </c>
      <c r="F22" s="264">
        <v>91755</v>
      </c>
      <c r="G22" s="733">
        <f>SUM(C22:F22)</f>
        <v>400896</v>
      </c>
      <c r="H22" s="264"/>
      <c r="I22" s="264">
        <v>180873</v>
      </c>
      <c r="J22" s="264">
        <v>222055</v>
      </c>
      <c r="K22" s="264">
        <v>172943</v>
      </c>
      <c r="L22" s="264">
        <v>195314</v>
      </c>
      <c r="M22" s="724">
        <f>SUM(I22:L22)</f>
        <v>771185</v>
      </c>
      <c r="O22" s="742"/>
      <c r="P22" s="741"/>
    </row>
    <row r="23" spans="2:16" x14ac:dyDescent="0.2">
      <c r="B23" t="s">
        <v>864</v>
      </c>
      <c r="C23" s="264">
        <v>23718</v>
      </c>
      <c r="D23" s="264">
        <v>18505</v>
      </c>
      <c r="E23" s="264">
        <v>25591</v>
      </c>
      <c r="F23" s="264">
        <v>20308</v>
      </c>
      <c r="G23" s="733">
        <f>+F23</f>
        <v>20308</v>
      </c>
      <c r="H23" s="264"/>
      <c r="I23" s="264">
        <v>40239</v>
      </c>
      <c r="J23" s="264">
        <v>39289</v>
      </c>
      <c r="K23" s="264">
        <v>31320</v>
      </c>
      <c r="L23" s="264">
        <v>41970</v>
      </c>
      <c r="M23" s="724">
        <f>+L23</f>
        <v>41970</v>
      </c>
      <c r="O23" s="742"/>
      <c r="P23" s="741"/>
    </row>
    <row r="24" spans="2:16" x14ac:dyDescent="0.2">
      <c r="B24" t="s">
        <v>860</v>
      </c>
      <c r="C24" s="730">
        <f>+(365/4)/(C22/C23)</f>
        <v>26.552823035775631</v>
      </c>
      <c r="D24" s="730">
        <f>+(365/4)/(D22/D23)</f>
        <v>14.914160484013424</v>
      </c>
      <c r="E24" s="730">
        <f>+(365/4)/(E22/E23)</f>
        <v>20.410082333301286</v>
      </c>
      <c r="F24" s="730">
        <f>+(365/4)/(F22/F23)</f>
        <v>20.196229088333059</v>
      </c>
      <c r="G24" s="737">
        <f>+(365)/(G22/G23)</f>
        <v>18.489633221583652</v>
      </c>
      <c r="I24" s="730">
        <f>+(365/4)/(I22/I23)</f>
        <v>20.300480171169827</v>
      </c>
      <c r="J24" s="730">
        <f>+(365/4)/(J22/J23)</f>
        <v>16.145194884150321</v>
      </c>
      <c r="K24" s="730">
        <f>+(365/4)/(K22/K23)</f>
        <v>16.525386977212147</v>
      </c>
      <c r="L24" s="730">
        <f>+(365/4)/(L22/L23)</f>
        <v>19.608233408767422</v>
      </c>
      <c r="M24" s="737">
        <f>+(365)/(M22/M23)</f>
        <v>19.864299746494034</v>
      </c>
      <c r="N24" s="730"/>
      <c r="O24" s="742">
        <f>+(C21+I21)/2</f>
        <v>19.331573797840392</v>
      </c>
      <c r="P24" s="741"/>
    </row>
    <row r="25" spans="2:16" x14ac:dyDescent="0.2">
      <c r="O25" s="743"/>
      <c r="P25" s="214"/>
    </row>
    <row r="26" spans="2:16" x14ac:dyDescent="0.2">
      <c r="O26" s="743"/>
      <c r="P26" s="214"/>
    </row>
    <row r="27" spans="2:16" x14ac:dyDescent="0.2">
      <c r="B27" s="134"/>
      <c r="C27" s="134"/>
      <c r="D27" s="134"/>
      <c r="E27" s="134"/>
      <c r="F27" s="134"/>
      <c r="G27" s="134"/>
      <c r="H27" s="134"/>
      <c r="I27" s="134"/>
      <c r="J27" s="134"/>
      <c r="K27" s="134"/>
      <c r="L27" s="134"/>
      <c r="M27" s="134"/>
      <c r="N27" s="134"/>
      <c r="O27" s="744"/>
      <c r="P27" s="148"/>
    </row>
    <row r="28" spans="2:16" x14ac:dyDescent="0.2">
      <c r="C28" s="66">
        <f t="shared" ref="C28:F29" si="0">+C7+C12+C17+C22</f>
        <v>302653</v>
      </c>
      <c r="D28" s="66">
        <f t="shared" si="0"/>
        <v>348721</v>
      </c>
      <c r="E28" s="66">
        <f t="shared" si="0"/>
        <v>359388</v>
      </c>
      <c r="F28" s="66">
        <f t="shared" si="0"/>
        <v>388700</v>
      </c>
      <c r="G28" s="66">
        <f>SUM(C28:F28)</f>
        <v>1399462</v>
      </c>
      <c r="I28" s="66">
        <f t="shared" ref="I28:L29" si="1">+I7+I12+I17+I22</f>
        <v>582820</v>
      </c>
      <c r="J28" s="66">
        <f t="shared" si="1"/>
        <v>537332</v>
      </c>
      <c r="K28" s="66">
        <f t="shared" si="1"/>
        <v>617713</v>
      </c>
      <c r="L28" s="66">
        <f t="shared" si="1"/>
        <v>694236</v>
      </c>
      <c r="M28" s="66">
        <f>SUM(I28:L28)</f>
        <v>2432101</v>
      </c>
      <c r="O28" s="743"/>
      <c r="P28" s="214"/>
    </row>
    <row r="29" spans="2:16" x14ac:dyDescent="0.2">
      <c r="C29" s="66">
        <f t="shared" si="0"/>
        <v>167285</v>
      </c>
      <c r="D29" s="66">
        <f t="shared" si="0"/>
        <v>159126</v>
      </c>
      <c r="E29" s="66">
        <f t="shared" si="0"/>
        <v>160906</v>
      </c>
      <c r="F29" s="66">
        <f t="shared" si="0"/>
        <v>183324</v>
      </c>
      <c r="G29" s="66">
        <f>+F29</f>
        <v>183324</v>
      </c>
      <c r="I29" s="66">
        <f t="shared" si="1"/>
        <v>294550</v>
      </c>
      <c r="J29" s="66">
        <f t="shared" si="1"/>
        <v>246598</v>
      </c>
      <c r="K29" s="66">
        <f t="shared" si="1"/>
        <v>297762</v>
      </c>
      <c r="L29" s="66">
        <f t="shared" si="1"/>
        <v>371477</v>
      </c>
      <c r="M29" s="66">
        <f>+L29</f>
        <v>371477</v>
      </c>
      <c r="O29" s="743"/>
      <c r="P29" s="214"/>
    </row>
    <row r="30" spans="2:16" x14ac:dyDescent="0.2">
      <c r="C30" s="730">
        <f>+(365/4)/(C28/C29)</f>
        <v>50.436494103808649</v>
      </c>
      <c r="D30" s="730">
        <f>+(365/4)/(D28/D29)</f>
        <v>41.638580699183592</v>
      </c>
      <c r="E30" s="730">
        <f>+(365/4)/(E28/E29)</f>
        <v>40.854654301200924</v>
      </c>
      <c r="F30" s="730">
        <f>+(365/4)/(F28/F29)</f>
        <v>43.036570620015432</v>
      </c>
      <c r="G30" s="730">
        <f>+(365)/(G28/G29)</f>
        <v>47.813559782259183</v>
      </c>
      <c r="H30" s="730"/>
      <c r="I30" s="730">
        <f>+(365/4)/(I28/I29)</f>
        <v>46.116618338423528</v>
      </c>
      <c r="J30" s="730">
        <f>+(365/4)/(J28/J29)</f>
        <v>41.877400750374072</v>
      </c>
      <c r="K30" s="730">
        <f>+(365/4)/(K28/K29)</f>
        <v>43.986094675035176</v>
      </c>
      <c r="L30" s="730">
        <f>+(365/4)/(L28/L29)</f>
        <v>48.826733632367088</v>
      </c>
      <c r="M30" s="730">
        <f>+(365)/(M28/M29)</f>
        <v>55.749783828878812</v>
      </c>
      <c r="N30" s="730"/>
      <c r="O30" s="745">
        <f>+(G30+M30)/2</f>
        <v>51.781671805568998</v>
      </c>
      <c r="P30" s="214"/>
    </row>
    <row r="31" spans="2:16" x14ac:dyDescent="0.2">
      <c r="O31" s="157"/>
      <c r="P31" s="214"/>
    </row>
    <row r="32" spans="2:16" x14ac:dyDescent="0.2">
      <c r="O32" s="147"/>
      <c r="P32" s="148"/>
    </row>
    <row r="35" spans="15:15" x14ac:dyDescent="0.2">
      <c r="O35" s="740"/>
    </row>
  </sheetData>
  <mergeCells count="2">
    <mergeCell ref="C3:F3"/>
    <mergeCell ref="I3:L3"/>
  </mergeCells>
  <pageMargins left="0.75" right="0.75" top="1" bottom="1" header="0.5" footer="0.5"/>
  <pageSetup scale="70" orientation="landscape" verticalDpi="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zoomScale="75" workbookViewId="0">
      <selection activeCell="G2" sqref="G2"/>
    </sheetView>
  </sheetViews>
  <sheetFormatPr defaultRowHeight="12.75" x14ac:dyDescent="0.2"/>
  <cols>
    <col min="1" max="1" width="4.7109375" customWidth="1"/>
    <col min="2" max="2" width="14.28515625" customWidth="1"/>
    <col min="3" max="7" width="12.28515625" customWidth="1"/>
    <col min="8" max="8" width="6" customWidth="1"/>
    <col min="9" max="11" width="12.28515625" customWidth="1"/>
    <col min="12" max="12" width="12.42578125" customWidth="1"/>
    <col min="13" max="14" width="11.140625" customWidth="1"/>
  </cols>
  <sheetData>
    <row r="1" spans="2:16" ht="23.25" x14ac:dyDescent="0.35">
      <c r="G1" s="755" t="s">
        <v>16</v>
      </c>
    </row>
    <row r="2" spans="2:16" x14ac:dyDescent="0.2">
      <c r="O2" s="139"/>
      <c r="P2" s="141"/>
    </row>
    <row r="3" spans="2:16" x14ac:dyDescent="0.2">
      <c r="C3" s="833">
        <v>1999</v>
      </c>
      <c r="D3" s="834"/>
      <c r="E3" s="834"/>
      <c r="F3" s="835"/>
      <c r="G3" s="146"/>
      <c r="H3" s="149"/>
      <c r="I3" s="833">
        <v>2000</v>
      </c>
      <c r="J3" s="834"/>
      <c r="K3" s="834"/>
      <c r="L3" s="835"/>
      <c r="O3" s="157"/>
      <c r="P3" s="214"/>
    </row>
    <row r="4" spans="2:16" x14ac:dyDescent="0.2">
      <c r="C4" s="147" t="s">
        <v>851</v>
      </c>
      <c r="D4" s="134" t="s">
        <v>852</v>
      </c>
      <c r="E4" s="134" t="s">
        <v>853</v>
      </c>
      <c r="F4" s="148" t="s">
        <v>854</v>
      </c>
      <c r="G4" s="728" t="s">
        <v>855</v>
      </c>
      <c r="I4" s="147" t="s">
        <v>851</v>
      </c>
      <c r="J4" s="134" t="s">
        <v>852</v>
      </c>
      <c r="K4" s="134" t="s">
        <v>853</v>
      </c>
      <c r="L4" s="148" t="s">
        <v>854</v>
      </c>
      <c r="M4" s="728" t="s">
        <v>855</v>
      </c>
      <c r="N4" s="728"/>
      <c r="O4" s="729" t="s">
        <v>856</v>
      </c>
      <c r="P4" s="214"/>
    </row>
    <row r="5" spans="2:16" x14ac:dyDescent="0.2">
      <c r="O5" s="157"/>
      <c r="P5" s="214"/>
    </row>
    <row r="6" spans="2:16" x14ac:dyDescent="0.2">
      <c r="B6" t="s">
        <v>857</v>
      </c>
      <c r="C6" s="730">
        <f>AVERAGE(C9:F9)</f>
        <v>27.591823814013125</v>
      </c>
      <c r="I6" s="730">
        <f>AVERAGE(I9:L9)</f>
        <v>27.712329776890897</v>
      </c>
      <c r="O6" s="157"/>
      <c r="P6" s="214"/>
    </row>
    <row r="7" spans="2:16" x14ac:dyDescent="0.2">
      <c r="B7" t="s">
        <v>251</v>
      </c>
      <c r="C7" s="264">
        <v>47400</v>
      </c>
      <c r="D7" s="264">
        <v>30654</v>
      </c>
      <c r="E7" s="264">
        <v>39808</v>
      </c>
      <c r="F7" s="264">
        <v>62166</v>
      </c>
      <c r="G7" s="731">
        <f>SUM(C7:F7)</f>
        <v>180028</v>
      </c>
      <c r="H7" s="264"/>
      <c r="I7" s="264">
        <v>84071</v>
      </c>
      <c r="J7" s="264">
        <v>30016</v>
      </c>
      <c r="K7" s="264">
        <v>60771</v>
      </c>
      <c r="L7" s="264">
        <v>108276</v>
      </c>
      <c r="M7" s="732">
        <f>SUM(I7:L7)</f>
        <v>283134</v>
      </c>
      <c r="O7" s="157"/>
      <c r="P7" s="214"/>
    </row>
    <row r="8" spans="2:16" x14ac:dyDescent="0.2">
      <c r="B8" t="s">
        <v>865</v>
      </c>
      <c r="C8" s="264">
        <v>6136</v>
      </c>
      <c r="D8" s="264">
        <v>12915</v>
      </c>
      <c r="E8" s="264">
        <v>12476</v>
      </c>
      <c r="F8" s="264">
        <v>21468</v>
      </c>
      <c r="G8" s="733">
        <f>+F8</f>
        <v>21468</v>
      </c>
      <c r="H8" s="264"/>
      <c r="I8" s="264">
        <v>8156</v>
      </c>
      <c r="J8" s="264">
        <v>5366</v>
      </c>
      <c r="K8" s="264">
        <v>20113</v>
      </c>
      <c r="L8" s="264">
        <v>65836</v>
      </c>
      <c r="M8" s="724">
        <f>+L8</f>
        <v>65836</v>
      </c>
      <c r="O8" s="157"/>
      <c r="P8" s="214"/>
    </row>
    <row r="9" spans="2:16" x14ac:dyDescent="0.2">
      <c r="B9" t="s">
        <v>866</v>
      </c>
      <c r="C9" s="730">
        <f>+(365/4)/(C7/C8)</f>
        <v>11.812447257383965</v>
      </c>
      <c r="D9" s="730">
        <f>+(365/4)/(D7/D8)</f>
        <v>38.445023487962423</v>
      </c>
      <c r="E9" s="730">
        <f>+(365/4)/(E7/E8)</f>
        <v>28.598146101286172</v>
      </c>
      <c r="F9" s="730">
        <f>+(365/4)/(F7/F8)</f>
        <v>31.51167840941994</v>
      </c>
      <c r="G9" s="725">
        <f>+(365)/(G7/G8)</f>
        <v>43.525562690248179</v>
      </c>
      <c r="I9" s="730">
        <f>+(365/4)/(I7/I8)</f>
        <v>8.852458041417373</v>
      </c>
      <c r="J9" s="730">
        <f>+(365/4)/(J7/J8)</f>
        <v>16.312883128997868</v>
      </c>
      <c r="K9" s="730">
        <f>+(365/4)/(K7/K8)</f>
        <v>30.200445113623275</v>
      </c>
      <c r="L9" s="730">
        <f>+(365/4)/(L7/L8)</f>
        <v>55.483532823525067</v>
      </c>
      <c r="M9" s="725">
        <f>+(365)/(M7/M8)</f>
        <v>84.871968749779256</v>
      </c>
      <c r="N9" s="734"/>
      <c r="O9" s="742">
        <f>+(C6+I6)/2</f>
        <v>27.652076795452011</v>
      </c>
      <c r="P9" s="741"/>
    </row>
    <row r="10" spans="2:16" x14ac:dyDescent="0.2">
      <c r="G10" s="736"/>
      <c r="M10" s="736"/>
      <c r="O10" s="742"/>
      <c r="P10" s="741"/>
    </row>
    <row r="11" spans="2:16" x14ac:dyDescent="0.2">
      <c r="B11" t="s">
        <v>861</v>
      </c>
      <c r="C11" s="730">
        <f>AVERAGE(C14:F14)</f>
        <v>42.597594773556899</v>
      </c>
      <c r="G11" s="736"/>
      <c r="I11" s="730">
        <f>AVERAGE(I14:L14)</f>
        <v>48.922538987015329</v>
      </c>
      <c r="M11" s="736"/>
      <c r="O11" s="742"/>
      <c r="P11" s="741"/>
    </row>
    <row r="12" spans="2:16" x14ac:dyDescent="0.2">
      <c r="B12" t="s">
        <v>251</v>
      </c>
      <c r="C12" s="264">
        <v>10255</v>
      </c>
      <c r="D12" s="264">
        <v>7490</v>
      </c>
      <c r="E12" s="264">
        <v>6263</v>
      </c>
      <c r="F12" s="264">
        <v>18835</v>
      </c>
      <c r="G12" s="733">
        <f>SUM(C12:F12)</f>
        <v>42843</v>
      </c>
      <c r="H12" s="264"/>
      <c r="I12" s="264">
        <v>32826</v>
      </c>
      <c r="J12" s="264">
        <v>14986</v>
      </c>
      <c r="K12" s="264">
        <v>16505</v>
      </c>
      <c r="L12" s="264">
        <v>27919</v>
      </c>
      <c r="M12" s="724">
        <f>SUM(I12:L12)</f>
        <v>92236</v>
      </c>
      <c r="O12" s="742"/>
      <c r="P12" s="741"/>
    </row>
    <row r="13" spans="2:16" x14ac:dyDescent="0.2">
      <c r="B13" t="s">
        <v>865</v>
      </c>
      <c r="C13" s="264">
        <v>1341</v>
      </c>
      <c r="D13" s="264">
        <v>1304</v>
      </c>
      <c r="E13" s="264">
        <v>9030</v>
      </c>
      <c r="F13" s="264">
        <v>2272</v>
      </c>
      <c r="G13" s="733">
        <f>+F13</f>
        <v>2272</v>
      </c>
      <c r="H13" s="264"/>
      <c r="I13" s="264">
        <v>6361</v>
      </c>
      <c r="J13" s="264">
        <v>14489</v>
      </c>
      <c r="K13" s="264">
        <v>3127</v>
      </c>
      <c r="L13" s="264">
        <v>22181</v>
      </c>
      <c r="M13" s="724">
        <f>+L13</f>
        <v>22181</v>
      </c>
      <c r="N13" s="730"/>
      <c r="O13" s="742"/>
      <c r="P13" s="741"/>
    </row>
    <row r="14" spans="2:16" x14ac:dyDescent="0.2">
      <c r="B14" t="s">
        <v>866</v>
      </c>
      <c r="C14" s="730">
        <f>+(365/4)/(C12/C13)</f>
        <v>11.932350073135055</v>
      </c>
      <c r="D14" s="730">
        <f>+(365/4)/(D12/D13)</f>
        <v>15.886515353805075</v>
      </c>
      <c r="E14" s="730">
        <f>+(365/4)/(E12/E13)</f>
        <v>131.56434615998722</v>
      </c>
      <c r="F14" s="730">
        <f>+(365/4)/(F12/F13)</f>
        <v>11.00716750730024</v>
      </c>
      <c r="G14" s="725">
        <f>+(365)/(G12/G13)</f>
        <v>19.356254230562755</v>
      </c>
      <c r="I14" s="730">
        <f>+(365/4)/(I12/I13)</f>
        <v>17.682363065862429</v>
      </c>
      <c r="J14" s="730">
        <f>+(365/4)/(J12/J13)</f>
        <v>88.223758841585479</v>
      </c>
      <c r="K14" s="730">
        <f>+(365/4)/(K12/K13)</f>
        <v>17.288018782187216</v>
      </c>
      <c r="L14" s="730">
        <f>+(365/4)/(L12/L13)</f>
        <v>72.496015258426169</v>
      </c>
      <c r="M14" s="725">
        <f>+(365)/(M12/M13)</f>
        <v>87.775543171863475</v>
      </c>
      <c r="N14" s="734"/>
      <c r="O14" s="742">
        <f>+(C11+I11)/2</f>
        <v>45.760066880286118</v>
      </c>
      <c r="P14" s="741"/>
    </row>
    <row r="15" spans="2:16" x14ac:dyDescent="0.2">
      <c r="G15" s="736"/>
      <c r="M15" s="736"/>
      <c r="O15" s="742"/>
      <c r="P15" s="741"/>
    </row>
    <row r="16" spans="2:16" x14ac:dyDescent="0.2">
      <c r="B16" t="s">
        <v>862</v>
      </c>
      <c r="C16" s="730">
        <f>AVERAGE(C19:F19)</f>
        <v>21.688994843480881</v>
      </c>
      <c r="G16" s="736"/>
      <c r="I16" s="730">
        <f>AVERAGE(I19:L19)</f>
        <v>31.76843555482688</v>
      </c>
      <c r="M16" s="736"/>
      <c r="O16" s="742"/>
      <c r="P16" s="741"/>
    </row>
    <row r="17" spans="2:16" x14ac:dyDescent="0.2">
      <c r="B17" t="s">
        <v>251</v>
      </c>
      <c r="C17" s="264">
        <v>153552</v>
      </c>
      <c r="D17" s="264">
        <v>186970</v>
      </c>
      <c r="E17" s="264">
        <v>190308</v>
      </c>
      <c r="F17" s="264">
        <v>204519</v>
      </c>
      <c r="G17" s="733">
        <f>SUM(C17:F17)</f>
        <v>735349</v>
      </c>
      <c r="H17" s="264"/>
      <c r="I17" s="264">
        <v>267262</v>
      </c>
      <c r="J17" s="264">
        <v>259049</v>
      </c>
      <c r="K17" s="264">
        <v>352020</v>
      </c>
      <c r="L17" s="264">
        <v>338223</v>
      </c>
      <c r="M17" s="724">
        <f>SUM(I17:L17)</f>
        <v>1216554</v>
      </c>
      <c r="O17" s="742"/>
      <c r="P17" s="741"/>
    </row>
    <row r="18" spans="2:16" x14ac:dyDescent="0.2">
      <c r="B18" t="s">
        <v>865</v>
      </c>
      <c r="C18" s="264">
        <v>36178</v>
      </c>
      <c r="D18" s="264">
        <v>42288</v>
      </c>
      <c r="E18" s="264">
        <v>43284</v>
      </c>
      <c r="F18" s="264">
        <v>53487</v>
      </c>
      <c r="G18" s="733">
        <f>+F18</f>
        <v>53487</v>
      </c>
      <c r="H18" s="264"/>
      <c r="I18" s="264">
        <v>82981</v>
      </c>
      <c r="J18" s="264">
        <v>95792</v>
      </c>
      <c r="K18" s="264">
        <v>95933</v>
      </c>
      <c r="L18" s="264">
        <v>148750</v>
      </c>
      <c r="M18" s="724">
        <f>+L18</f>
        <v>148750</v>
      </c>
      <c r="O18" s="742"/>
      <c r="P18" s="741"/>
    </row>
    <row r="19" spans="2:16" x14ac:dyDescent="0.2">
      <c r="B19" t="s">
        <v>866</v>
      </c>
      <c r="C19" s="730">
        <f>+(365/4)/(C17/C18)</f>
        <v>21.499182687298113</v>
      </c>
      <c r="D19" s="730">
        <f>+(365/4)/(D17/D18)</f>
        <v>20.638498154784191</v>
      </c>
      <c r="E19" s="730">
        <f>+(365/4)/(E17/E18)</f>
        <v>20.754067091241566</v>
      </c>
      <c r="F19" s="730">
        <f>+(365/4)/(F17/F18)</f>
        <v>23.864231440599653</v>
      </c>
      <c r="G19" s="725">
        <f>+(365)/(G17/G18)</f>
        <v>26.548965185238572</v>
      </c>
      <c r="I19" s="730">
        <f>+(365/4)/(I17/I18)</f>
        <v>28.331810171292588</v>
      </c>
      <c r="J19" s="730">
        <f>+(365/4)/(J17/J18)</f>
        <v>33.742728209720944</v>
      </c>
      <c r="K19" s="730">
        <f>+(365/4)/(K17/K18)</f>
        <v>24.867582097608093</v>
      </c>
      <c r="L19" s="730">
        <f>+(365/4)/(L17/L18)</f>
        <v>40.13162174068588</v>
      </c>
      <c r="M19" s="725">
        <f>+(365)/(M17/M18)</f>
        <v>44.629132779967023</v>
      </c>
      <c r="N19" s="734"/>
      <c r="O19" s="742">
        <f>+(C16+I16)/2</f>
        <v>26.728715199153882</v>
      </c>
      <c r="P19" s="741"/>
    </row>
    <row r="20" spans="2:16" x14ac:dyDescent="0.2">
      <c r="G20" s="736"/>
      <c r="M20" s="736"/>
      <c r="O20" s="742"/>
      <c r="P20" s="741"/>
    </row>
    <row r="21" spans="2:16" x14ac:dyDescent="0.2">
      <c r="B21" t="s">
        <v>863</v>
      </c>
      <c r="C21" s="730">
        <f>AVERAGE(C24:F24)</f>
        <v>20.166035458817674</v>
      </c>
      <c r="G21" s="736"/>
      <c r="I21" s="730">
        <f>AVERAGE(I24:L24)</f>
        <v>15.617096736919702</v>
      </c>
      <c r="M21" s="736"/>
      <c r="O21" s="742"/>
      <c r="P21" s="741"/>
    </row>
    <row r="22" spans="2:16" x14ac:dyDescent="0.2">
      <c r="B22" t="s">
        <v>251</v>
      </c>
      <c r="C22" s="264">
        <v>79422</v>
      </c>
      <c r="D22" s="264">
        <v>107644</v>
      </c>
      <c r="E22" s="264">
        <v>110641</v>
      </c>
      <c r="F22" s="264">
        <v>89798</v>
      </c>
      <c r="G22" s="733">
        <f>SUM(C22:F22)</f>
        <v>387505</v>
      </c>
      <c r="H22" s="264"/>
      <c r="I22" s="264">
        <v>176128</v>
      </c>
      <c r="J22" s="264">
        <v>214237</v>
      </c>
      <c r="K22" s="264">
        <v>170833</v>
      </c>
      <c r="L22" s="264">
        <v>198901</v>
      </c>
      <c r="M22" s="724">
        <f>SUM(I22:L22)</f>
        <v>760099</v>
      </c>
      <c r="O22" s="742"/>
      <c r="P22" s="741"/>
    </row>
    <row r="23" spans="2:16" x14ac:dyDescent="0.2">
      <c r="B23" t="s">
        <v>865</v>
      </c>
      <c r="C23" s="264">
        <v>24388</v>
      </c>
      <c r="D23" s="264">
        <v>18705</v>
      </c>
      <c r="E23" s="264">
        <v>20721</v>
      </c>
      <c r="F23" s="264">
        <v>19385</v>
      </c>
      <c r="G23" s="733">
        <f>+F23</f>
        <v>19385</v>
      </c>
      <c r="H23" s="264"/>
      <c r="I23" s="264">
        <v>42570</v>
      </c>
      <c r="J23" s="264">
        <v>30189</v>
      </c>
      <c r="K23" s="264">
        <v>26631</v>
      </c>
      <c r="L23" s="264">
        <v>29056</v>
      </c>
      <c r="M23" s="724">
        <f>+L23</f>
        <v>29056</v>
      </c>
      <c r="O23" s="742"/>
      <c r="P23" s="741"/>
    </row>
    <row r="24" spans="2:16" x14ac:dyDescent="0.2">
      <c r="B24" t="s">
        <v>866</v>
      </c>
      <c r="C24" s="730">
        <f>+(365/4)/(C22/C23)</f>
        <v>28.020007050943065</v>
      </c>
      <c r="D24" s="730">
        <f>+(365/4)/(D22/D23)</f>
        <v>15.856259986622572</v>
      </c>
      <c r="E24" s="730">
        <f>+(365/4)/(E22/E23)</f>
        <v>17.089426614003852</v>
      </c>
      <c r="F24" s="730">
        <f>+(365/4)/(F22/F23)</f>
        <v>19.698448183701199</v>
      </c>
      <c r="G24" s="737">
        <f>+(365)/(G22/G23)</f>
        <v>18.25918375246771</v>
      </c>
      <c r="I24" s="730">
        <f>+(365/4)/(I22/I23)</f>
        <v>22.0550537109375</v>
      </c>
      <c r="J24" s="730">
        <f>+(365/4)/(J22/J23)</f>
        <v>12.858405644216452</v>
      </c>
      <c r="K24" s="730">
        <f>+(365/4)/(K22/K23)</f>
        <v>14.224878975373612</v>
      </c>
      <c r="L24" s="730">
        <f>+(365/4)/(L22/L23)</f>
        <v>13.330048617151245</v>
      </c>
      <c r="M24" s="737">
        <f>+(365)/(M22/M23)</f>
        <v>13.952708791881058</v>
      </c>
      <c r="N24" s="734"/>
      <c r="O24" s="742">
        <f>+(C21+I21)/2</f>
        <v>17.89156609786869</v>
      </c>
      <c r="P24" s="741"/>
    </row>
    <row r="25" spans="2:16" x14ac:dyDescent="0.2">
      <c r="O25" s="738"/>
      <c r="P25" s="214"/>
    </row>
    <row r="26" spans="2:16" x14ac:dyDescent="0.2">
      <c r="O26" s="738"/>
      <c r="P26" s="214"/>
    </row>
    <row r="27" spans="2:16" x14ac:dyDescent="0.2">
      <c r="B27" s="134"/>
      <c r="C27" s="134"/>
      <c r="D27" s="134"/>
      <c r="E27" s="134"/>
      <c r="F27" s="134"/>
      <c r="G27" s="134"/>
      <c r="H27" s="134"/>
      <c r="I27" s="134"/>
      <c r="J27" s="134"/>
      <c r="K27" s="134"/>
      <c r="L27" s="134"/>
      <c r="M27" s="134"/>
      <c r="N27" s="134"/>
      <c r="O27" s="739"/>
      <c r="P27" s="148"/>
    </row>
    <row r="28" spans="2:16" x14ac:dyDescent="0.2">
      <c r="C28" s="66">
        <f t="shared" ref="C28:F29" si="0">+C7+C12+C17+C22</f>
        <v>290629</v>
      </c>
      <c r="D28" s="66">
        <f t="shared" si="0"/>
        <v>332758</v>
      </c>
      <c r="E28" s="66">
        <f t="shared" si="0"/>
        <v>347020</v>
      </c>
      <c r="F28" s="66">
        <f t="shared" si="0"/>
        <v>375318</v>
      </c>
      <c r="G28" s="66">
        <f>SUM(C28:F28)</f>
        <v>1345725</v>
      </c>
      <c r="I28" s="66">
        <f t="shared" ref="I28:L29" si="1">+I7+I12+I17+I22</f>
        <v>560287</v>
      </c>
      <c r="J28" s="66">
        <f t="shared" si="1"/>
        <v>518288</v>
      </c>
      <c r="K28" s="66">
        <f t="shared" si="1"/>
        <v>600129</v>
      </c>
      <c r="L28" s="66">
        <f t="shared" si="1"/>
        <v>673319</v>
      </c>
      <c r="M28" s="66">
        <f>SUM(I28:L28)</f>
        <v>2352023</v>
      </c>
      <c r="O28" s="738"/>
      <c r="P28" s="214"/>
    </row>
    <row r="29" spans="2:16" x14ac:dyDescent="0.2">
      <c r="C29" s="66">
        <f t="shared" si="0"/>
        <v>68043</v>
      </c>
      <c r="D29" s="66">
        <f t="shared" si="0"/>
        <v>75212</v>
      </c>
      <c r="E29" s="66">
        <f t="shared" si="0"/>
        <v>85511</v>
      </c>
      <c r="F29" s="66">
        <f t="shared" si="0"/>
        <v>96612</v>
      </c>
      <c r="G29" s="66">
        <f>+F29</f>
        <v>96612</v>
      </c>
      <c r="I29" s="66">
        <f t="shared" si="1"/>
        <v>140068</v>
      </c>
      <c r="J29" s="66">
        <f t="shared" si="1"/>
        <v>145836</v>
      </c>
      <c r="K29" s="66">
        <f t="shared" si="1"/>
        <v>145804</v>
      </c>
      <c r="L29" s="66">
        <f t="shared" si="1"/>
        <v>265823</v>
      </c>
      <c r="M29" s="66">
        <f>+L29</f>
        <v>265823</v>
      </c>
      <c r="O29" s="738"/>
      <c r="P29" s="214"/>
    </row>
    <row r="30" spans="2:16" x14ac:dyDescent="0.2">
      <c r="C30" s="730">
        <f>+(365/4)/(C28/C29)</f>
        <v>21.363744671041086</v>
      </c>
      <c r="D30" s="730">
        <f>+(365/4)/(D28/D29)</f>
        <v>20.624883549005585</v>
      </c>
      <c r="E30" s="730">
        <f>+(365/4)/(E28/E29)</f>
        <v>22.485386288974698</v>
      </c>
      <c r="F30" s="730">
        <f>+(365/4)/(F28/F29)</f>
        <v>23.48900132687481</v>
      </c>
      <c r="G30" s="730">
        <f>+(365)/(G28/G29)</f>
        <v>26.204001560497129</v>
      </c>
      <c r="H30" s="730"/>
      <c r="I30" s="730">
        <f>+(365/4)/(I28/I29)</f>
        <v>22.811889263895111</v>
      </c>
      <c r="J30" s="730">
        <f>+(365/4)/(J28/J29)</f>
        <v>25.675946577964375</v>
      </c>
      <c r="K30" s="730">
        <f>+(365/4)/(K28/K29)</f>
        <v>22.169591871081053</v>
      </c>
      <c r="L30" s="730">
        <f>+(365/4)/(L28/L29)</f>
        <v>36.025047191598631</v>
      </c>
      <c r="M30" s="730">
        <f>+(365)/(M28/M29)</f>
        <v>41.251890393928967</v>
      </c>
      <c r="N30" s="730"/>
      <c r="O30" s="735">
        <f>+(G30+M30)/2</f>
        <v>33.727945977213047</v>
      </c>
      <c r="P30" s="214"/>
    </row>
    <row r="31" spans="2:16" x14ac:dyDescent="0.2">
      <c r="O31" s="157"/>
      <c r="P31" s="214"/>
    </row>
    <row r="32" spans="2:16" x14ac:dyDescent="0.2">
      <c r="O32" s="147"/>
      <c r="P32" s="148"/>
    </row>
    <row r="35" spans="15:15" x14ac:dyDescent="0.2">
      <c r="O35" s="740"/>
    </row>
  </sheetData>
  <mergeCells count="2">
    <mergeCell ref="C3:F3"/>
    <mergeCell ref="I3:L3"/>
  </mergeCells>
  <pageMargins left="0.75" right="0.75" top="1" bottom="1" header="0.5" footer="0.5"/>
  <pageSetup scale="70" orientation="landscape" verticalDpi="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5536"/>
  <sheetViews>
    <sheetView topLeftCell="A4" zoomScaleNormal="100" workbookViewId="0">
      <selection activeCell="A30" sqref="A30"/>
    </sheetView>
  </sheetViews>
  <sheetFormatPr defaultRowHeight="12.75" x14ac:dyDescent="0.2"/>
  <cols>
    <col min="1" max="1" width="8.28515625" customWidth="1"/>
    <col min="2" max="2" width="7.28515625" customWidth="1"/>
    <col min="3" max="3" width="14.85546875" customWidth="1"/>
    <col min="4" max="4" width="7.85546875" customWidth="1"/>
    <col min="5" max="5" width="12.7109375" customWidth="1"/>
    <col min="6" max="12" width="10.7109375" customWidth="1"/>
  </cols>
  <sheetData>
    <row r="1" spans="1:14" ht="18.75" thickBot="1" x14ac:dyDescent="0.3">
      <c r="A1" s="392" t="s">
        <v>518</v>
      </c>
      <c r="B1" s="343"/>
      <c r="C1" s="343"/>
      <c r="D1" s="344"/>
      <c r="E1" s="344"/>
      <c r="F1" s="344"/>
      <c r="G1" s="360"/>
      <c r="H1" s="417" t="s">
        <v>655</v>
      </c>
      <c r="I1" s="360"/>
      <c r="J1" s="360"/>
      <c r="K1" s="360"/>
      <c r="L1" s="360"/>
      <c r="M1" s="371"/>
      <c r="N1" s="247"/>
    </row>
    <row r="2" spans="1:14" x14ac:dyDescent="0.2">
      <c r="A2" s="80"/>
    </row>
    <row r="3" spans="1:14" ht="15.75" x14ac:dyDescent="0.25">
      <c r="A3" s="80"/>
      <c r="L3" s="181" t="s">
        <v>656</v>
      </c>
    </row>
    <row r="4" spans="1:14" x14ac:dyDescent="0.2">
      <c r="A4" s="80"/>
    </row>
    <row r="5" spans="1:14" x14ac:dyDescent="0.2">
      <c r="A5" s="80"/>
      <c r="E5" s="319"/>
      <c r="F5" s="319"/>
      <c r="G5" s="702"/>
      <c r="H5" s="319"/>
      <c r="I5" s="319"/>
      <c r="J5" s="319"/>
      <c r="K5" s="319"/>
    </row>
    <row r="7" spans="1:14" x14ac:dyDescent="0.2">
      <c r="B7" t="s">
        <v>438</v>
      </c>
      <c r="E7" s="319">
        <f ca="1">'AVP - Trading'!E7</f>
        <v>262.44468044050774</v>
      </c>
      <c r="F7" s="319">
        <f ca="1">'AVP - Trading'!F7</f>
        <v>282.44468044050774</v>
      </c>
      <c r="G7" s="716">
        <f ca="1">'AVP - Trading'!G7</f>
        <v>302.44468044050774</v>
      </c>
      <c r="H7" s="319">
        <f ca="1">'AVP - Trading'!H7</f>
        <v>322.44468044050774</v>
      </c>
      <c r="I7" s="702">
        <f ca="1">'AVP - Trading'!I7</f>
        <v>342.44468044050774</v>
      </c>
      <c r="J7" s="319">
        <f ca="1">'AVP - Trading'!J7</f>
        <v>362.44468044050774</v>
      </c>
      <c r="K7" s="319">
        <f ca="1">'AVP - Trading'!K7</f>
        <v>382.44468044050774</v>
      </c>
      <c r="L7" s="599"/>
    </row>
    <row r="8" spans="1:14" x14ac:dyDescent="0.2">
      <c r="B8" t="s">
        <v>113</v>
      </c>
      <c r="E8" s="327">
        <f>-'S &amp; U'!$J$14</f>
        <v>-180.4</v>
      </c>
      <c r="F8" s="327">
        <f>-'S &amp; U'!$J$14</f>
        <v>-180.4</v>
      </c>
      <c r="G8" s="325">
        <f>-'S &amp; U'!$J$14</f>
        <v>-180.4</v>
      </c>
      <c r="H8" s="327">
        <f>-'S &amp; U'!$J$14</f>
        <v>-180.4</v>
      </c>
      <c r="I8" s="700">
        <f>-'S &amp; U'!$J$14</f>
        <v>-180.4</v>
      </c>
      <c r="J8" s="327">
        <f>-'S &amp; U'!$J$14</f>
        <v>-180.4</v>
      </c>
      <c r="K8" s="327">
        <f>-'S &amp; U'!$J$14</f>
        <v>-180.4</v>
      </c>
      <c r="L8" s="601"/>
    </row>
    <row r="9" spans="1:14" x14ac:dyDescent="0.2">
      <c r="B9" t="s">
        <v>118</v>
      </c>
      <c r="E9" s="324">
        <f ca="1">Assumptions!$B$46</f>
        <v>37.95531955949226</v>
      </c>
      <c r="F9" s="324">
        <f ca="1">Assumptions!$B$46</f>
        <v>37.95531955949226</v>
      </c>
      <c r="G9" s="324">
        <f ca="1">Assumptions!$B$46</f>
        <v>37.95531955949226</v>
      </c>
      <c r="H9" s="324">
        <f ca="1">Assumptions!$B$46</f>
        <v>37.95531955949226</v>
      </c>
      <c r="I9" s="698">
        <f ca="1">Assumptions!$B$46</f>
        <v>37.95531955949226</v>
      </c>
      <c r="J9" s="324">
        <f ca="1">Assumptions!$B$46</f>
        <v>37.95531955949226</v>
      </c>
      <c r="K9" s="324">
        <f ca="1">Assumptions!$B$46</f>
        <v>37.95531955949226</v>
      </c>
      <c r="L9" s="601"/>
    </row>
    <row r="10" spans="1:14" x14ac:dyDescent="0.2">
      <c r="B10" t="s">
        <v>114</v>
      </c>
      <c r="E10" s="319">
        <f t="shared" ref="E10:K10" ca="1" si="0">SUM(E7:E9)</f>
        <v>120</v>
      </c>
      <c r="F10" s="319">
        <f t="shared" ca="1" si="0"/>
        <v>140</v>
      </c>
      <c r="G10" s="319">
        <f t="shared" ca="1" si="0"/>
        <v>160</v>
      </c>
      <c r="H10" s="319">
        <f t="shared" ca="1" si="0"/>
        <v>180</v>
      </c>
      <c r="I10" s="702">
        <f t="shared" ca="1" si="0"/>
        <v>200</v>
      </c>
      <c r="J10" s="319">
        <f t="shared" ca="1" si="0"/>
        <v>220</v>
      </c>
      <c r="K10" s="319">
        <f t="shared" ca="1" si="0"/>
        <v>240</v>
      </c>
      <c r="L10" s="599"/>
    </row>
    <row r="11" spans="1:14" x14ac:dyDescent="0.2">
      <c r="F11" s="264"/>
      <c r="G11" s="720"/>
      <c r="H11" s="264"/>
      <c r="I11" s="719"/>
      <c r="J11" s="292"/>
      <c r="K11" s="264"/>
      <c r="L11" s="225"/>
    </row>
    <row r="12" spans="1:14" x14ac:dyDescent="0.2">
      <c r="G12" s="721"/>
      <c r="I12" s="219"/>
      <c r="J12" s="110"/>
      <c r="L12" s="175"/>
    </row>
    <row r="13" spans="1:14" x14ac:dyDescent="0.2">
      <c r="B13" s="335" t="s">
        <v>439</v>
      </c>
      <c r="C13" s="67"/>
      <c r="D13" s="67"/>
      <c r="E13" s="67"/>
      <c r="G13" s="298"/>
      <c r="I13" s="219"/>
      <c r="J13" s="110"/>
      <c r="L13" s="175"/>
    </row>
    <row r="14" spans="1:14" x14ac:dyDescent="0.2">
      <c r="B14">
        <v>2000</v>
      </c>
      <c r="C14" t="s">
        <v>440</v>
      </c>
      <c r="D14" s="628">
        <f>+'Balance Sheet'!F37/1000</f>
        <v>122.925</v>
      </c>
      <c r="E14" s="222">
        <f ca="1">+E$10/$D14</f>
        <v>0.97620500305064062</v>
      </c>
      <c r="F14" s="222">
        <f t="shared" ref="F14:K14" ca="1" si="1">+F10/$D$14</f>
        <v>1.1389058368924141</v>
      </c>
      <c r="G14" s="718">
        <f t="shared" ca="1" si="1"/>
        <v>1.3016066707341876</v>
      </c>
      <c r="H14" s="222">
        <f t="shared" ca="1" si="1"/>
        <v>1.464307504575961</v>
      </c>
      <c r="I14" s="656">
        <f t="shared" ca="1" si="1"/>
        <v>1.6270083384177345</v>
      </c>
      <c r="J14" s="222">
        <f t="shared" ca="1" si="1"/>
        <v>1.7897091722595078</v>
      </c>
      <c r="K14" s="222">
        <f t="shared" ca="1" si="1"/>
        <v>1.9524100061012812</v>
      </c>
      <c r="L14" s="602"/>
    </row>
    <row r="15" spans="1:14" x14ac:dyDescent="0.2">
      <c r="A15" s="325">
        <v>-1</v>
      </c>
      <c r="B15">
        <v>2000</v>
      </c>
      <c r="C15" t="s">
        <v>295</v>
      </c>
      <c r="D15" s="628">
        <v>160</v>
      </c>
      <c r="E15" s="222">
        <f ca="1">+E$10/$D15</f>
        <v>0.75</v>
      </c>
      <c r="F15" s="222">
        <f t="shared" ref="F15:K15" ca="1" si="2">+F$10/$D15</f>
        <v>0.875</v>
      </c>
      <c r="G15" s="718">
        <f t="shared" ca="1" si="2"/>
        <v>1</v>
      </c>
      <c r="H15" s="222">
        <f t="shared" ca="1" si="2"/>
        <v>1.125</v>
      </c>
      <c r="I15" s="656">
        <f t="shared" ca="1" si="2"/>
        <v>1.25</v>
      </c>
      <c r="J15" s="222">
        <f t="shared" ca="1" si="2"/>
        <v>1.375</v>
      </c>
      <c r="K15" s="222">
        <f t="shared" ca="1" si="2"/>
        <v>1.5</v>
      </c>
      <c r="L15" s="602"/>
    </row>
    <row r="16" spans="1:14" x14ac:dyDescent="0.2">
      <c r="G16" s="298"/>
      <c r="I16" s="80"/>
      <c r="L16" s="602"/>
    </row>
    <row r="17" spans="1:12" x14ac:dyDescent="0.2">
      <c r="B17">
        <v>2000</v>
      </c>
      <c r="C17" t="s">
        <v>86</v>
      </c>
      <c r="D17" s="628">
        <f>'Valuation - DCF'!J67/1000</f>
        <v>24.12865</v>
      </c>
      <c r="E17" s="222">
        <f t="shared" ref="E17:K17" ca="1" si="3">+E10/$D$17</f>
        <v>4.9733408209742356</v>
      </c>
      <c r="F17" s="222">
        <f t="shared" ca="1" si="3"/>
        <v>5.8022309578032756</v>
      </c>
      <c r="G17" s="718">
        <f t="shared" ca="1" si="3"/>
        <v>6.6311210946323147</v>
      </c>
      <c r="H17" s="222">
        <f t="shared" ca="1" si="3"/>
        <v>7.4600112314613538</v>
      </c>
      <c r="I17" s="656">
        <f t="shared" ca="1" si="3"/>
        <v>8.2889013682903929</v>
      </c>
      <c r="J17" s="222">
        <f t="shared" ca="1" si="3"/>
        <v>9.1177915051194329</v>
      </c>
      <c r="K17" s="222">
        <f t="shared" ca="1" si="3"/>
        <v>9.9466816419484712</v>
      </c>
      <c r="L17" s="602"/>
    </row>
    <row r="18" spans="1:12" x14ac:dyDescent="0.2">
      <c r="A18" s="325">
        <v>-2</v>
      </c>
      <c r="B18">
        <v>2001</v>
      </c>
      <c r="C18" t="s">
        <v>86</v>
      </c>
      <c r="D18" s="628">
        <f ca="1">'Valuation - DCF'!K67/1000+'Valuation - DCF'!L67/1000</f>
        <v>12.985018364313241</v>
      </c>
      <c r="E18" s="222">
        <f t="shared" ref="E18:K18" ca="1" si="4">+E10/$D$18</f>
        <v>9.2414193521509613</v>
      </c>
      <c r="F18" s="222">
        <f t="shared" ca="1" si="4"/>
        <v>10.781655910842787</v>
      </c>
      <c r="G18" s="718">
        <f t="shared" ca="1" si="4"/>
        <v>12.321892469534614</v>
      </c>
      <c r="H18" s="222">
        <f t="shared" ca="1" si="4"/>
        <v>13.862129028226441</v>
      </c>
      <c r="I18" s="656">
        <f t="shared" ca="1" si="4"/>
        <v>15.402365586918268</v>
      </c>
      <c r="J18" s="222">
        <f t="shared" ca="1" si="4"/>
        <v>16.942602145610095</v>
      </c>
      <c r="K18" s="222">
        <f t="shared" ca="1" si="4"/>
        <v>18.482838704301923</v>
      </c>
      <c r="L18" s="602"/>
    </row>
    <row r="19" spans="1:12" x14ac:dyDescent="0.2">
      <c r="D19" s="264"/>
      <c r="E19" s="222"/>
      <c r="F19" s="222"/>
      <c r="G19" s="718"/>
      <c r="H19" s="222"/>
      <c r="I19" s="701"/>
      <c r="J19" s="255"/>
      <c r="K19" s="222"/>
      <c r="L19" s="602"/>
    </row>
    <row r="20" spans="1:12" x14ac:dyDescent="0.2">
      <c r="B20">
        <v>2000</v>
      </c>
      <c r="C20" t="s">
        <v>402</v>
      </c>
      <c r="D20" s="628">
        <f>'Valuation - DCF'!J71/1000</f>
        <v>19.428650000000001</v>
      </c>
      <c r="E20" s="222">
        <f t="shared" ref="E20:K20" ca="1" si="5">+E10/$D$20</f>
        <v>6.1764456099626068</v>
      </c>
      <c r="F20" s="222">
        <f t="shared" ca="1" si="5"/>
        <v>7.2058532116230412</v>
      </c>
      <c r="G20" s="718">
        <f t="shared" ca="1" si="5"/>
        <v>8.2352608132834746</v>
      </c>
      <c r="H20" s="222">
        <f t="shared" ca="1" si="5"/>
        <v>9.2646684149439089</v>
      </c>
      <c r="I20" s="656">
        <f t="shared" ca="1" si="5"/>
        <v>10.294076016604343</v>
      </c>
      <c r="J20" s="222">
        <f t="shared" ca="1" si="5"/>
        <v>11.323483618264778</v>
      </c>
      <c r="K20" s="222">
        <f t="shared" ca="1" si="5"/>
        <v>12.352891219925214</v>
      </c>
      <c r="L20" s="602"/>
    </row>
    <row r="21" spans="1:12" x14ac:dyDescent="0.2">
      <c r="A21" s="325">
        <v>-2</v>
      </c>
      <c r="B21">
        <v>2001</v>
      </c>
      <c r="C21" t="s">
        <v>402</v>
      </c>
      <c r="D21" s="628">
        <f ca="1">'Valuation - DCF'!K71/1000+'Valuation - DCF'!L71/1000</f>
        <v>19.277194940544188</v>
      </c>
      <c r="E21" s="222">
        <f t="shared" ref="E21:K21" ca="1" si="6">+E10/$D$21</f>
        <v>6.2249720651843159</v>
      </c>
      <c r="F21" s="222">
        <f t="shared" ca="1" si="6"/>
        <v>7.2624674093817019</v>
      </c>
      <c r="G21" s="718">
        <f t="shared" ca="1" si="6"/>
        <v>8.2999627535790879</v>
      </c>
      <c r="H21" s="222">
        <f t="shared" ca="1" si="6"/>
        <v>9.3374580977764747</v>
      </c>
      <c r="I21" s="656">
        <f t="shared" ca="1" si="6"/>
        <v>10.37495344197386</v>
      </c>
      <c r="J21" s="222">
        <f t="shared" ca="1" si="6"/>
        <v>11.412448786171247</v>
      </c>
      <c r="K21" s="222">
        <f t="shared" ca="1" si="6"/>
        <v>12.449944130368632</v>
      </c>
      <c r="L21" s="602"/>
    </row>
    <row r="22" spans="1:12" x14ac:dyDescent="0.2">
      <c r="D22" s="264"/>
      <c r="E22" s="222"/>
      <c r="F22" s="222"/>
      <c r="G22" s="718"/>
      <c r="H22" s="222"/>
      <c r="I22" s="701"/>
      <c r="J22" s="255"/>
      <c r="K22" s="222"/>
      <c r="L22" s="602"/>
    </row>
    <row r="23" spans="1:12" x14ac:dyDescent="0.2">
      <c r="B23" s="335" t="s">
        <v>441</v>
      </c>
      <c r="C23" s="210"/>
      <c r="D23" s="210"/>
      <c r="E23" s="222"/>
      <c r="F23" s="222"/>
      <c r="G23" s="718"/>
      <c r="H23" s="222"/>
      <c r="I23" s="701"/>
      <c r="J23" s="255"/>
      <c r="K23" s="222"/>
      <c r="L23" s="602"/>
    </row>
    <row r="24" spans="1:12" x14ac:dyDescent="0.2">
      <c r="B24">
        <v>2000</v>
      </c>
      <c r="C24" t="s">
        <v>107</v>
      </c>
      <c r="D24" s="628">
        <f>'Valuation - DCF'!J72/1000</f>
        <v>48.399000000000001</v>
      </c>
      <c r="E24" s="222">
        <f t="shared" ref="E24:K24" ca="1" si="7">+E7/$D$24</f>
        <v>5.4225227884978562</v>
      </c>
      <c r="F24" s="222">
        <f t="shared" ca="1" si="7"/>
        <v>5.8357544668383179</v>
      </c>
      <c r="G24" s="718">
        <f t="shared" ca="1" si="7"/>
        <v>6.2489861451787796</v>
      </c>
      <c r="H24" s="222">
        <f t="shared" ca="1" si="7"/>
        <v>6.6622178235192404</v>
      </c>
      <c r="I24" s="656">
        <f t="shared" ca="1" si="7"/>
        <v>7.0754495018597021</v>
      </c>
      <c r="J24" s="222">
        <f t="shared" ca="1" si="7"/>
        <v>7.4886811802001638</v>
      </c>
      <c r="K24" s="222">
        <f t="shared" ca="1" si="7"/>
        <v>7.9019128585406255</v>
      </c>
      <c r="L24" s="602"/>
    </row>
    <row r="25" spans="1:12" x14ac:dyDescent="0.2">
      <c r="A25" s="325">
        <v>-2</v>
      </c>
      <c r="B25">
        <v>2001</v>
      </c>
      <c r="C25" t="s">
        <v>107</v>
      </c>
      <c r="D25" s="628">
        <f ca="1">'Valuation - DCF'!K72/1000+'Valuation - DCF'!L72/1000</f>
        <v>36.017498000000003</v>
      </c>
      <c r="E25" s="222">
        <f t="shared" ref="E25:K25" ca="1" si="8">+E7/$D$25</f>
        <v>7.2865883254996699</v>
      </c>
      <c r="F25" s="222">
        <f t="shared" ca="1" si="8"/>
        <v>7.8418739813772662</v>
      </c>
      <c r="G25" s="718">
        <f t="shared" ca="1" si="8"/>
        <v>8.3971596372548625</v>
      </c>
      <c r="H25" s="222">
        <f t="shared" ca="1" si="8"/>
        <v>8.9524452931324578</v>
      </c>
      <c r="I25" s="656">
        <f t="shared" ca="1" si="8"/>
        <v>9.5077309490100532</v>
      </c>
      <c r="J25" s="222">
        <f t="shared" ca="1" si="8"/>
        <v>10.063016604887649</v>
      </c>
      <c r="K25" s="222">
        <f t="shared" ca="1" si="8"/>
        <v>10.618302260765246</v>
      </c>
      <c r="L25" s="602"/>
    </row>
    <row r="26" spans="1:12" x14ac:dyDescent="0.2">
      <c r="D26" s="328"/>
      <c r="E26" s="328"/>
      <c r="F26" s="222"/>
      <c r="G26" s="718"/>
      <c r="H26" s="222"/>
      <c r="I26" s="656"/>
      <c r="J26" s="222"/>
      <c r="K26" s="222"/>
      <c r="L26" s="175"/>
    </row>
    <row r="27" spans="1:12" x14ac:dyDescent="0.2">
      <c r="E27" s="450"/>
      <c r="F27" s="450"/>
      <c r="G27" s="722"/>
      <c r="H27" s="450"/>
      <c r="I27" s="426"/>
      <c r="J27" s="450"/>
      <c r="K27" s="450"/>
      <c r="L27" s="610"/>
    </row>
    <row r="28" spans="1:12" x14ac:dyDescent="0.2">
      <c r="B28" t="s">
        <v>563</v>
      </c>
      <c r="C28" s="334">
        <v>0.1</v>
      </c>
      <c r="D28" s="138"/>
      <c r="E28" s="645">
        <f ca="1">((XNPV($C28,'Valuation - DCF'!$K$53:$Q$53,'Valuation - DCF'!$K$40:$Q$40))/1000)-$E$7</f>
        <v>219.08309980026314</v>
      </c>
      <c r="F28" s="645">
        <f ca="1">((XNPV($C28,'Valuation - DCF'!$K$53:$Q$53,'Valuation - DCF'!$K$40:$Q$40))/1000)-$F$7</f>
        <v>199.08309980026314</v>
      </c>
      <c r="G28" s="723">
        <f ca="1">((XNPV($C28,'Valuation - DCF'!$K$53:$Q$53,'Valuation - DCF'!$K$40:$Q$40))/1000)-$G$7</f>
        <v>179.08309980026314</v>
      </c>
      <c r="H28" s="645">
        <f ca="1">((XNPV($C28,'Valuation - DCF'!$K$53:$Q$53,'Valuation - DCF'!$K$40:$Q$40))/1000)-$H$7</f>
        <v>159.08309980026314</v>
      </c>
      <c r="I28" s="703">
        <f ca="1">((XNPV($C28,'Valuation - DCF'!$K$53:$Q$53,'Valuation - DCF'!$K$40:$Q$40))/1000)-$I$7</f>
        <v>139.08309980026314</v>
      </c>
      <c r="J28" s="645">
        <f ca="1">((XNPV($C28,'Valuation - DCF'!$K$53:$Q$53,'Valuation - DCF'!$K$40:$Q$40))/1000)-$J$7</f>
        <v>119.08309980026314</v>
      </c>
      <c r="K28" s="645">
        <f ca="1">((XNPV($C28,'Valuation - DCF'!$K$53:$Q$53,'Valuation - DCF'!$K$40:$Q$40))/1000)-$K$7</f>
        <v>99.083099800263142</v>
      </c>
      <c r="L28" s="610"/>
    </row>
    <row r="29" spans="1:12" x14ac:dyDescent="0.2">
      <c r="B29" t="s">
        <v>563</v>
      </c>
      <c r="C29" s="334">
        <v>0.11</v>
      </c>
      <c r="E29" s="645">
        <f ca="1">((XNPV($C29,'Valuation - DCF'!$K$53:$Q$53,'Valuation - DCF'!$K$40:$Q$40))/1000)-$E$7</f>
        <v>203.75072739509653</v>
      </c>
      <c r="F29" s="645">
        <f ca="1">((XNPV($C29,'Valuation - DCF'!$K$53:$Q$53,'Valuation - DCF'!$K$40:$Q$40))/1000)-$F$7</f>
        <v>183.75072739509653</v>
      </c>
      <c r="G29" s="723">
        <f ca="1">((XNPV($C29,'Valuation - DCF'!$K$53:$Q$53,'Valuation - DCF'!$K$40:$Q$40))/1000)-$G$7</f>
        <v>163.75072739509653</v>
      </c>
      <c r="H29" s="645">
        <f ca="1">((XNPV($C29,'Valuation - DCF'!$K$53:$Q$53,'Valuation - DCF'!$K$40:$Q$40))/1000)-$H$7</f>
        <v>143.75072739509653</v>
      </c>
      <c r="I29" s="703">
        <f ca="1">((XNPV($C29,'Valuation - DCF'!$K$53:$Q$53,'Valuation - DCF'!$K$40:$Q$40))/1000)-$I$7</f>
        <v>123.75072739509653</v>
      </c>
      <c r="J29" s="645">
        <f ca="1">((XNPV($C29,'Valuation - DCF'!$K$53:$Q$53,'Valuation - DCF'!$K$40:$Q$40))/1000)-$J$7</f>
        <v>103.75072739509653</v>
      </c>
      <c r="K29" s="645">
        <f ca="1">((XNPV($C29,'Valuation - DCF'!$K$53:$Q$53,'Valuation - DCF'!$K$40:$Q$40))/1000)-$K$7</f>
        <v>83.750727395096533</v>
      </c>
      <c r="L29" s="610"/>
    </row>
    <row r="30" spans="1:12" x14ac:dyDescent="0.2">
      <c r="B30" t="s">
        <v>563</v>
      </c>
      <c r="C30" s="334">
        <v>0.12</v>
      </c>
      <c r="E30" s="645">
        <f ca="1">((XNPV($C30,'Valuation - DCF'!$K$53:$Q$53,'Valuation - DCF'!$K$40:$Q$40))/1000)-$E$7</f>
        <v>189.11489926604787</v>
      </c>
      <c r="F30" s="645">
        <f ca="1">((XNPV($C30,'Valuation - DCF'!$K$53:$Q$53,'Valuation - DCF'!$K$40:$Q$40))/1000)-$F$7</f>
        <v>169.11489926604787</v>
      </c>
      <c r="G30" s="723">
        <f ca="1">((XNPV($C30,'Valuation - DCF'!$K$53:$Q$53,'Valuation - DCF'!$K$40:$Q$40))/1000)-$G$7</f>
        <v>149.11489926604787</v>
      </c>
      <c r="H30" s="645">
        <f ca="1">((XNPV($C30,'Valuation - DCF'!$K$53:$Q$53,'Valuation - DCF'!$K$40:$Q$40))/1000)-$H$7</f>
        <v>129.11489926604787</v>
      </c>
      <c r="I30" s="703">
        <f ca="1">((XNPV($C30,'Valuation - DCF'!$K$53:$Q$53,'Valuation - DCF'!$K$40:$Q$40))/1000)-$I$7</f>
        <v>109.11489926604787</v>
      </c>
      <c r="J30" s="645">
        <f ca="1">((XNPV($C30,'Valuation - DCF'!$K$53:$Q$53,'Valuation - DCF'!$K$40:$Q$40))/1000)-$J$7</f>
        <v>89.114899266047871</v>
      </c>
      <c r="K30" s="645">
        <f ca="1">((XNPV($C30,'Valuation - DCF'!$K$53:$Q$53,'Valuation - DCF'!$K$40:$Q$40))/1000)-$K$7</f>
        <v>69.114899266047871</v>
      </c>
      <c r="L30" s="610"/>
    </row>
    <row r="31" spans="1:12" x14ac:dyDescent="0.2">
      <c r="B31" t="s">
        <v>563</v>
      </c>
      <c r="C31" s="334">
        <v>0.15</v>
      </c>
      <c r="E31" s="645">
        <f ca="1">((XNPV($C31,'Valuation - DCF'!$K$53:$Q$53,'Valuation - DCF'!$K$40:$Q$40))/1000)-$E$7</f>
        <v>149.01548977263224</v>
      </c>
      <c r="F31" s="645">
        <f ca="1">((XNPV($C31,'Valuation - DCF'!$K$53:$Q$53,'Valuation - DCF'!$K$40:$Q$40))/1000)-$F$7</f>
        <v>129.01548977263224</v>
      </c>
      <c r="G31" s="723">
        <f ca="1">((XNPV($C31,'Valuation - DCF'!$K$53:$Q$53,'Valuation - DCF'!$K$40:$Q$40))/1000)-$G$7</f>
        <v>109.01548977263224</v>
      </c>
      <c r="H31" s="645">
        <f ca="1">((XNPV($C31,'Valuation - DCF'!$K$53:$Q$53,'Valuation - DCF'!$K$40:$Q$40))/1000)-$H$7</f>
        <v>89.015489772632236</v>
      </c>
      <c r="I31" s="703">
        <f ca="1">((XNPV($C31,'Valuation - DCF'!$K$53:$Q$53,'Valuation - DCF'!$K$40:$Q$40))/1000)-$I$7</f>
        <v>69.015489772632236</v>
      </c>
      <c r="J31" s="645">
        <f ca="1">((XNPV($C31,'Valuation - DCF'!$K$53:$Q$53,'Valuation - DCF'!$K$40:$Q$40))/1000)-$J$7</f>
        <v>49.015489772632236</v>
      </c>
      <c r="K31" s="645">
        <f ca="1">((XNPV($C31,'Valuation - DCF'!$K$53:$Q$53,'Valuation - DCF'!$K$40:$Q$40))/1000)-$K$7</f>
        <v>29.015489772632236</v>
      </c>
      <c r="L31" s="610"/>
    </row>
    <row r="32" spans="1:12" x14ac:dyDescent="0.2">
      <c r="B32" t="s">
        <v>563</v>
      </c>
      <c r="C32" s="334">
        <v>0.18</v>
      </c>
      <c r="E32" s="645">
        <f ca="1">((XNPV($C32,'Valuation - DCF'!$K$53:$Q$53,'Valuation - DCF'!$K$40:$Q$40))/1000)-$E$7</f>
        <v>113.94277481125954</v>
      </c>
      <c r="F32" s="645">
        <f ca="1">((XNPV($C32,'Valuation - DCF'!$K$53:$Q$53,'Valuation - DCF'!$K$40:$Q$40))/1000)-$F$7</f>
        <v>93.94277481125954</v>
      </c>
      <c r="G32" s="723">
        <f ca="1">((XNPV($C32,'Valuation - DCF'!$K$53:$Q$53,'Valuation - DCF'!$K$40:$Q$40))/1000)-$G$7</f>
        <v>73.94277481125954</v>
      </c>
      <c r="H32" s="645">
        <f ca="1">((XNPV($C32,'Valuation - DCF'!$K$53:$Q$53,'Valuation - DCF'!$K$40:$Q$40))/1000)-$H$7</f>
        <v>53.94277481125954</v>
      </c>
      <c r="I32" s="703">
        <f ca="1">((XNPV($C32,'Valuation - DCF'!$K$53:$Q$53,'Valuation - DCF'!$K$40:$Q$40))/1000)-$I$7</f>
        <v>33.94277481125954</v>
      </c>
      <c r="J32" s="645">
        <f ca="1">((XNPV($C32,'Valuation - DCF'!$K$53:$Q$53,'Valuation - DCF'!$K$40:$Q$40))/1000)-$J$7</f>
        <v>13.94277481125954</v>
      </c>
      <c r="K32" s="645">
        <f ca="1">((XNPV($C32,'Valuation - DCF'!$K$53:$Q$53,'Valuation - DCF'!$K$40:$Q$40))/1000)-$K$7</f>
        <v>-6.0572251887404605</v>
      </c>
    </row>
    <row r="34" spans="2:2" x14ac:dyDescent="0.2">
      <c r="B34" s="318" t="s">
        <v>840</v>
      </c>
    </row>
    <row r="35" spans="2:2" x14ac:dyDescent="0.2">
      <c r="B35" s="318" t="s">
        <v>841</v>
      </c>
    </row>
    <row r="65536" spans="13:13" x14ac:dyDescent="0.2">
      <c r="M65536" t="s">
        <v>656</v>
      </c>
    </row>
  </sheetData>
  <printOptions horizontalCentered="1"/>
  <pageMargins left="0.75" right="0.75" top="0.53" bottom="1" header="0.5" footer="0.5"/>
  <pageSetup scale="91" orientation="landscape" verticalDpi="200" r:id="rId1"/>
  <headerFooter alignWithMargins="0">
    <oddFooter>&amp;L&amp;7&amp;D &amp;T&amp;C&amp;8&amp;P&amp;R&amp;7o:/Corpdev/North America/Raul/Ammonia/&amp;F</oddFooter>
  </headerFooter>
  <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5"/>
  <sheetViews>
    <sheetView zoomScaleNormal="100" workbookViewId="0">
      <selection activeCell="A30" sqref="A30"/>
    </sheetView>
  </sheetViews>
  <sheetFormatPr defaultRowHeight="12.75" x14ac:dyDescent="0.2"/>
  <cols>
    <col min="1" max="1" width="5.7109375" customWidth="1"/>
    <col min="2" max="2" width="8.28515625" customWidth="1"/>
    <col min="3" max="3" width="14.140625" bestFit="1" customWidth="1"/>
    <col min="4" max="5" width="8.85546875" customWidth="1"/>
    <col min="6" max="6" width="9.28515625" customWidth="1"/>
    <col min="7" max="12" width="10.7109375" customWidth="1"/>
  </cols>
  <sheetData>
    <row r="1" spans="1:13" ht="24" thickBot="1" x14ac:dyDescent="0.4">
      <c r="A1" s="392" t="s">
        <v>518</v>
      </c>
      <c r="B1" s="362"/>
      <c r="C1" s="362"/>
      <c r="D1" s="360"/>
      <c r="E1" s="360"/>
      <c r="F1" s="363"/>
      <c r="G1" s="360"/>
      <c r="H1" s="764"/>
      <c r="I1" s="726"/>
      <c r="J1" s="726"/>
      <c r="K1" s="726"/>
      <c r="L1" s="764"/>
      <c r="M1" s="764" t="s">
        <v>657</v>
      </c>
    </row>
    <row r="2" spans="1:13" x14ac:dyDescent="0.2">
      <c r="A2" s="80"/>
    </row>
    <row r="3" spans="1:13" x14ac:dyDescent="0.2">
      <c r="A3" s="80"/>
      <c r="L3" s="80"/>
      <c r="M3" s="80" t="s">
        <v>656</v>
      </c>
    </row>
    <row r="4" spans="1:13" x14ac:dyDescent="0.2">
      <c r="A4" s="80"/>
    </row>
    <row r="5" spans="1:13" x14ac:dyDescent="0.2">
      <c r="A5" s="80"/>
      <c r="B5" t="s">
        <v>114</v>
      </c>
      <c r="E5" s="319">
        <v>120</v>
      </c>
      <c r="F5" s="319">
        <f t="shared" ref="F5:K5" si="0">E5+20</f>
        <v>140</v>
      </c>
      <c r="G5" s="716">
        <f t="shared" si="0"/>
        <v>160</v>
      </c>
      <c r="H5" s="319">
        <f t="shared" si="0"/>
        <v>180</v>
      </c>
      <c r="I5" s="702">
        <f t="shared" si="0"/>
        <v>200</v>
      </c>
      <c r="J5" s="319">
        <f t="shared" si="0"/>
        <v>220</v>
      </c>
      <c r="K5" s="319">
        <f t="shared" si="0"/>
        <v>240</v>
      </c>
    </row>
    <row r="6" spans="1:13" x14ac:dyDescent="0.2">
      <c r="G6" s="247"/>
      <c r="H6" s="110"/>
      <c r="I6" s="219"/>
      <c r="J6" s="321"/>
    </row>
    <row r="7" spans="1:13" x14ac:dyDescent="0.2">
      <c r="B7" t="s">
        <v>438</v>
      </c>
      <c r="E7" s="319">
        <f ca="1">E5+'S &amp; U'!$J$14-Assumptions!$B$46</f>
        <v>262.44468044050774</v>
      </c>
      <c r="F7" s="319">
        <f ca="1">F5+'S &amp; U'!$J$14-Assumptions!$B$46</f>
        <v>282.44468044050774</v>
      </c>
      <c r="G7" s="716">
        <f ca="1">G5+'S &amp; U'!$J$14-Assumptions!$B$46</f>
        <v>302.44468044050774</v>
      </c>
      <c r="H7" s="319">
        <f ca="1">H5+'S &amp; U'!$J$14-Assumptions!$B$46</f>
        <v>322.44468044050774</v>
      </c>
      <c r="I7" s="702">
        <f ca="1">I5+'S &amp; U'!$J$14-Assumptions!$B$46</f>
        <v>342.44468044050774</v>
      </c>
      <c r="J7" s="319">
        <f ca="1">J5+'S &amp; U'!$J$14-Assumptions!$B$46</f>
        <v>362.44468044050774</v>
      </c>
      <c r="K7" s="319">
        <f ca="1">K5+'S &amp; U'!$J$14-Assumptions!$B$46</f>
        <v>382.44468044050774</v>
      </c>
      <c r="L7" s="607"/>
    </row>
    <row r="8" spans="1:13" x14ac:dyDescent="0.2">
      <c r="B8" t="s">
        <v>847</v>
      </c>
      <c r="E8" s="325">
        <f ca="1">-Dep!$E$108/1000</f>
        <v>-20.492665638170813</v>
      </c>
      <c r="F8" s="325">
        <f ca="1">-Dep!$E$108/1000</f>
        <v>-20.492665638170813</v>
      </c>
      <c r="G8" s="325">
        <f ca="1">-Dep!$E$108/1000</f>
        <v>-20.492665638170813</v>
      </c>
      <c r="H8" s="325">
        <f ca="1">-Dep!$E$108/1000</f>
        <v>-20.492665638170813</v>
      </c>
      <c r="I8" s="700">
        <f ca="1">-Dep!$E$108/1000</f>
        <v>-20.492665638170813</v>
      </c>
      <c r="J8" s="325">
        <f ca="1">-Dep!$E$108/1000</f>
        <v>-20.492665638170813</v>
      </c>
      <c r="K8" s="325">
        <f ca="1">-Dep!$E$108/1000</f>
        <v>-20.492665638170813</v>
      </c>
      <c r="L8" s="607"/>
    </row>
    <row r="9" spans="1:13" x14ac:dyDescent="0.2">
      <c r="B9" t="s">
        <v>787</v>
      </c>
      <c r="E9" s="324">
        <f ca="1">-'Asset Valuation'!$I$20</f>
        <v>-75.809303654932961</v>
      </c>
      <c r="F9" s="324">
        <f ca="1">-'Asset Valuation'!$I$20</f>
        <v>-75.809303654932961</v>
      </c>
      <c r="G9" s="324">
        <f ca="1">-'Asset Valuation'!$I$20</f>
        <v>-75.809303654932961</v>
      </c>
      <c r="H9" s="324">
        <f ca="1">-'Asset Valuation'!$I$20</f>
        <v>-75.809303654932961</v>
      </c>
      <c r="I9" s="698">
        <f ca="1">-'Asset Valuation'!$I$20</f>
        <v>-75.809303654932961</v>
      </c>
      <c r="J9" s="324">
        <f ca="1">-'Asset Valuation'!$I$20</f>
        <v>-75.809303654932961</v>
      </c>
      <c r="K9" s="324">
        <f ca="1">-'Asset Valuation'!$I$20</f>
        <v>-75.809303654932961</v>
      </c>
      <c r="L9" s="601"/>
    </row>
    <row r="10" spans="1:13" x14ac:dyDescent="0.2">
      <c r="B10" t="s">
        <v>523</v>
      </c>
      <c r="E10" s="682">
        <f t="shared" ref="E10:K10" ca="1" si="1">SUM(E7:E9)</f>
        <v>166.14271114740396</v>
      </c>
      <c r="F10" s="682">
        <f t="shared" ca="1" si="1"/>
        <v>186.14271114740396</v>
      </c>
      <c r="G10" s="682">
        <f t="shared" ca="1" si="1"/>
        <v>206.14271114740396</v>
      </c>
      <c r="H10" s="682">
        <f t="shared" ca="1" si="1"/>
        <v>226.14271114740396</v>
      </c>
      <c r="I10" s="683">
        <f t="shared" ca="1" si="1"/>
        <v>246.14271114740396</v>
      </c>
      <c r="J10" s="682">
        <f t="shared" ca="1" si="1"/>
        <v>266.14271114740393</v>
      </c>
      <c r="K10" s="682">
        <f t="shared" ca="1" si="1"/>
        <v>286.14271114740393</v>
      </c>
      <c r="L10" s="599"/>
    </row>
    <row r="11" spans="1:13" x14ac:dyDescent="0.2">
      <c r="E11" s="319"/>
      <c r="F11" s="319"/>
      <c r="G11" s="682"/>
      <c r="H11" s="320"/>
      <c r="I11" s="683"/>
      <c r="J11" s="319"/>
      <c r="K11" s="319"/>
      <c r="L11" s="175"/>
    </row>
    <row r="12" spans="1:13" x14ac:dyDescent="0.2">
      <c r="B12" t="s">
        <v>521</v>
      </c>
      <c r="E12" s="76">
        <f>-'S &amp; U'!$J$14</f>
        <v>-180.4</v>
      </c>
      <c r="F12" s="76">
        <f>-'S &amp; U'!$J$14</f>
        <v>-180.4</v>
      </c>
      <c r="G12" s="465">
        <f>-'S &amp; U'!$J$14</f>
        <v>-180.4</v>
      </c>
      <c r="H12" s="76">
        <f>-'S &amp; U'!$J$14</f>
        <v>-180.4</v>
      </c>
      <c r="I12" s="699">
        <f>-'S &amp; U'!$J$14</f>
        <v>-180.4</v>
      </c>
      <c r="J12" s="76">
        <f>-'S &amp; U'!$J$14</f>
        <v>-180.4</v>
      </c>
      <c r="K12" s="76">
        <f>-'S &amp; U'!$J$14</f>
        <v>-180.4</v>
      </c>
      <c r="L12" s="608"/>
    </row>
    <row r="13" spans="1:13" x14ac:dyDescent="0.2">
      <c r="B13" t="s">
        <v>522</v>
      </c>
      <c r="E13" s="325">
        <f>-'Asset Valuation'!$I$22</f>
        <v>20</v>
      </c>
      <c r="F13" s="325">
        <f>-'Asset Valuation'!$I$22</f>
        <v>20</v>
      </c>
      <c r="G13" s="325">
        <f>-'Asset Valuation'!$I$22</f>
        <v>20</v>
      </c>
      <c r="H13" s="325">
        <f>-'Asset Valuation'!$I$22</f>
        <v>20</v>
      </c>
      <c r="I13" s="700">
        <f>-'Asset Valuation'!$I$22</f>
        <v>20</v>
      </c>
      <c r="J13" s="325">
        <f>-'Asset Valuation'!$I$22</f>
        <v>20</v>
      </c>
      <c r="K13" s="325">
        <f>-'Asset Valuation'!$I$22</f>
        <v>20</v>
      </c>
      <c r="L13" s="600"/>
    </row>
    <row r="14" spans="1:13" x14ac:dyDescent="0.2">
      <c r="B14" t="s">
        <v>118</v>
      </c>
      <c r="E14" s="324">
        <f ca="1">Assumptions!$B$46</f>
        <v>37.95531955949226</v>
      </c>
      <c r="F14" s="324">
        <f ca="1">Assumptions!$B$46</f>
        <v>37.95531955949226</v>
      </c>
      <c r="G14" s="324">
        <f ca="1">Assumptions!$B$46</f>
        <v>37.95531955949226</v>
      </c>
      <c r="H14" s="324">
        <f ca="1">Assumptions!$B$46</f>
        <v>37.95531955949226</v>
      </c>
      <c r="I14" s="698">
        <f ca="1">Assumptions!$B$46</f>
        <v>37.95531955949226</v>
      </c>
      <c r="J14" s="324">
        <f ca="1">Assumptions!$B$46</f>
        <v>37.95531955949226</v>
      </c>
      <c r="K14" s="324">
        <f ca="1">Assumptions!$B$46</f>
        <v>37.95531955949226</v>
      </c>
      <c r="L14" s="601"/>
    </row>
    <row r="15" spans="1:13" x14ac:dyDescent="0.2">
      <c r="B15" t="s">
        <v>520</v>
      </c>
      <c r="E15" s="326">
        <f t="shared" ref="E15:K15" ca="1" si="2">SUM(E10:E14)</f>
        <v>43.698030706896212</v>
      </c>
      <c r="F15" s="326">
        <f t="shared" ca="1" si="2"/>
        <v>63.698030706896212</v>
      </c>
      <c r="G15" s="326">
        <f t="shared" ca="1" si="2"/>
        <v>83.698030706896219</v>
      </c>
      <c r="H15" s="326">
        <f t="shared" ca="1" si="2"/>
        <v>103.69803070689622</v>
      </c>
      <c r="I15" s="655">
        <f t="shared" ca="1" si="2"/>
        <v>123.69803070689622</v>
      </c>
      <c r="J15" s="326">
        <f t="shared" ca="1" si="2"/>
        <v>143.69803070689619</v>
      </c>
      <c r="K15" s="326">
        <f t="shared" ca="1" si="2"/>
        <v>163.69803070689619</v>
      </c>
      <c r="L15" s="609"/>
    </row>
    <row r="16" spans="1:13" x14ac:dyDescent="0.2">
      <c r="G16" s="247"/>
      <c r="H16" s="110"/>
      <c r="I16" s="219"/>
      <c r="L16" s="175"/>
    </row>
    <row r="17" spans="2:12" x14ac:dyDescent="0.2">
      <c r="B17" s="224" t="s">
        <v>848</v>
      </c>
      <c r="C17" s="67"/>
      <c r="G17" s="247"/>
      <c r="H17" s="110"/>
      <c r="I17" s="219"/>
      <c r="L17" s="175"/>
    </row>
    <row r="18" spans="2:12" x14ac:dyDescent="0.2">
      <c r="B18">
        <v>2000</v>
      </c>
      <c r="C18" t="s">
        <v>791</v>
      </c>
      <c r="D18" s="591">
        <f>('Balance Sheet'!F37-16570-1000)/1000</f>
        <v>105.355</v>
      </c>
      <c r="E18" s="222">
        <f ca="1">+E15/$D$18</f>
        <v>0.41476940540929441</v>
      </c>
      <c r="F18" s="222">
        <f t="shared" ref="F18:K18" ca="1" si="3">+F15/$D$18</f>
        <v>0.60460377492189465</v>
      </c>
      <c r="G18" s="717">
        <f t="shared" ca="1" si="3"/>
        <v>0.79443814443449501</v>
      </c>
      <c r="H18" s="255">
        <f t="shared" ca="1" si="3"/>
        <v>0.98427251394709525</v>
      </c>
      <c r="I18" s="701">
        <f t="shared" ca="1" si="3"/>
        <v>1.1741068834596955</v>
      </c>
      <c r="J18" s="222">
        <f t="shared" ca="1" si="3"/>
        <v>1.3639412529722954</v>
      </c>
      <c r="K18" s="222">
        <f t="shared" ca="1" si="3"/>
        <v>1.5537756224848958</v>
      </c>
      <c r="L18" s="602"/>
    </row>
    <row r="19" spans="2:12" x14ac:dyDescent="0.2">
      <c r="D19" s="635"/>
      <c r="E19" s="634"/>
      <c r="F19" s="222"/>
      <c r="G19" s="717"/>
      <c r="H19" s="255"/>
      <c r="I19" s="701"/>
      <c r="J19" s="222"/>
      <c r="K19" s="222"/>
      <c r="L19" s="602"/>
    </row>
    <row r="20" spans="2:12" x14ac:dyDescent="0.2">
      <c r="B20" s="224" t="s">
        <v>441</v>
      </c>
      <c r="C20" s="67"/>
      <c r="D20" s="88"/>
      <c r="E20" s="222"/>
      <c r="F20" s="222"/>
      <c r="G20" s="717"/>
      <c r="H20" s="255"/>
      <c r="I20" s="701"/>
      <c r="J20" s="222"/>
      <c r="K20" s="222"/>
      <c r="L20" s="602"/>
    </row>
    <row r="21" spans="2:12" x14ac:dyDescent="0.2">
      <c r="B21">
        <v>2000</v>
      </c>
      <c r="C21" t="s">
        <v>666</v>
      </c>
      <c r="D21" s="591">
        <f>'Valuation - DCF'!J77/1000</f>
        <v>37.703922400000003</v>
      </c>
      <c r="E21" s="222">
        <f ca="1">+E10/$D$21</f>
        <v>4.4065100013945484</v>
      </c>
      <c r="F21" s="222">
        <f t="shared" ref="F21:K21" ca="1" si="4">+F10/$D$21</f>
        <v>4.9369587909878563</v>
      </c>
      <c r="G21" s="717">
        <f t="shared" ca="1" si="4"/>
        <v>5.4674075805811633</v>
      </c>
      <c r="H21" s="255">
        <f t="shared" ca="1" si="4"/>
        <v>5.9978563701744712</v>
      </c>
      <c r="I21" s="701">
        <f t="shared" ca="1" si="4"/>
        <v>6.528305159767779</v>
      </c>
      <c r="J21" s="222">
        <f t="shared" ca="1" si="4"/>
        <v>7.058753949361086</v>
      </c>
      <c r="K21" s="222">
        <f t="shared" ca="1" si="4"/>
        <v>7.589202738954393</v>
      </c>
      <c r="L21" s="602"/>
    </row>
    <row r="22" spans="2:12" x14ac:dyDescent="0.2">
      <c r="B22">
        <v>2001</v>
      </c>
      <c r="C22" t="s">
        <v>666</v>
      </c>
      <c r="D22" s="591">
        <f ca="1">'Valuation - DCF'!K77/1000+'Valuation - DCF'!L77/1000</f>
        <v>23.661215599999998</v>
      </c>
      <c r="E22" s="222">
        <f ca="1">+E10/$D$22</f>
        <v>7.0217318482742694</v>
      </c>
      <c r="F22" s="222">
        <f t="shared" ref="F22:K22" ca="1" si="5">+F10/$D$22</f>
        <v>7.8669969579840169</v>
      </c>
      <c r="G22" s="717">
        <f t="shared" ca="1" si="5"/>
        <v>8.7122620676937643</v>
      </c>
      <c r="H22" s="255">
        <f t="shared" ca="1" si="5"/>
        <v>9.5575271774035127</v>
      </c>
      <c r="I22" s="701">
        <f t="shared" ca="1" si="5"/>
        <v>10.402792287113261</v>
      </c>
      <c r="J22" s="222">
        <f t="shared" ca="1" si="5"/>
        <v>11.248057396823008</v>
      </c>
      <c r="K22" s="222">
        <f t="shared" ca="1" si="5"/>
        <v>12.093322506532756</v>
      </c>
      <c r="L22" s="602"/>
    </row>
    <row r="23" spans="2:12" x14ac:dyDescent="0.2">
      <c r="B23">
        <v>2002</v>
      </c>
      <c r="C23" t="s">
        <v>666</v>
      </c>
      <c r="D23" s="591">
        <f ca="1">'Valuation - DCF'!M77/1000</f>
        <v>30.608397866666667</v>
      </c>
      <c r="E23" s="222">
        <f t="shared" ref="E23:K23" ca="1" si="6">+E10/$D$23</f>
        <v>5.4280107005645544</v>
      </c>
      <c r="F23" s="222">
        <f t="shared" ca="1" si="6"/>
        <v>6.081426148413934</v>
      </c>
      <c r="G23" s="718">
        <f t="shared" ca="1" si="6"/>
        <v>6.7348415962633146</v>
      </c>
      <c r="H23" s="222">
        <f t="shared" ca="1" si="6"/>
        <v>7.3882570441126942</v>
      </c>
      <c r="I23" s="656">
        <f t="shared" ca="1" si="6"/>
        <v>8.041672491962073</v>
      </c>
      <c r="J23" s="222">
        <f t="shared" ca="1" si="6"/>
        <v>8.6950879398114527</v>
      </c>
      <c r="K23" s="222">
        <f t="shared" ca="1" si="6"/>
        <v>9.3485033876608323</v>
      </c>
      <c r="L23" s="602"/>
    </row>
    <row r="24" spans="2:12" x14ac:dyDescent="0.2">
      <c r="I24" s="80"/>
      <c r="L24" s="175"/>
    </row>
    <row r="25" spans="2:12" x14ac:dyDescent="0.2">
      <c r="B25" s="318" t="s">
        <v>839</v>
      </c>
    </row>
  </sheetData>
  <printOptions horizontalCentered="1"/>
  <pageMargins left="0.75" right="0.75" top="0.53" bottom="1" header="0.5" footer="0.5"/>
  <pageSetup scale="96" orientation="landscape" verticalDpi="200" r:id="rId1"/>
  <headerFooter alignWithMargins="0">
    <oddFooter>&amp;L&amp;7&amp;D &amp;T&amp;C&amp;8&amp;P&amp;R&amp;7o:/Corpdev/North America/Raul/Ammonia/&amp;F</oddFooter>
  </headerFooter>
  <drawing r:id="rId2"/>
  <legacyDrawing r:id="rId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6"/>
  <sheetViews>
    <sheetView zoomScaleNormal="100" workbookViewId="0">
      <selection activeCell="A30" sqref="A30"/>
    </sheetView>
  </sheetViews>
  <sheetFormatPr defaultRowHeight="12.75" x14ac:dyDescent="0.2"/>
  <cols>
    <col min="1" max="1" width="5.7109375" customWidth="1"/>
    <col min="2" max="2" width="8.28515625" customWidth="1"/>
    <col min="3" max="3" width="14.140625" bestFit="1" customWidth="1"/>
    <col min="4" max="5" width="8.85546875" customWidth="1"/>
    <col min="6" max="6" width="9.28515625" customWidth="1"/>
    <col min="7" max="12" width="10.7109375" customWidth="1"/>
  </cols>
  <sheetData>
    <row r="1" spans="1:16" ht="24" thickBot="1" x14ac:dyDescent="0.4">
      <c r="A1" s="392" t="s">
        <v>518</v>
      </c>
      <c r="B1" s="362"/>
      <c r="C1" s="362"/>
      <c r="D1" s="360"/>
      <c r="E1" s="360"/>
      <c r="F1" s="363"/>
      <c r="G1" s="360"/>
      <c r="H1" s="836" t="s">
        <v>815</v>
      </c>
      <c r="I1" s="836"/>
      <c r="J1" s="836"/>
      <c r="K1" s="836"/>
      <c r="L1" s="836"/>
      <c r="M1" s="836"/>
    </row>
    <row r="2" spans="1:16" x14ac:dyDescent="0.2">
      <c r="A2" s="80"/>
    </row>
    <row r="3" spans="1:16" x14ac:dyDescent="0.2">
      <c r="A3" s="80"/>
      <c r="L3" s="80" t="s">
        <v>656</v>
      </c>
    </row>
    <row r="4" spans="1:16" x14ac:dyDescent="0.2">
      <c r="A4" s="80"/>
    </row>
    <row r="5" spans="1:16" x14ac:dyDescent="0.2">
      <c r="A5" s="80"/>
    </row>
    <row r="6" spans="1:16" x14ac:dyDescent="0.2">
      <c r="G6" s="110"/>
      <c r="H6" s="110"/>
      <c r="I6" s="110"/>
      <c r="J6" s="321"/>
    </row>
    <row r="7" spans="1:16" x14ac:dyDescent="0.2">
      <c r="B7" t="s">
        <v>816</v>
      </c>
      <c r="E7" s="682">
        <v>60</v>
      </c>
      <c r="F7" s="682">
        <v>65</v>
      </c>
      <c r="G7" s="682">
        <v>70</v>
      </c>
      <c r="H7" s="683">
        <f ca="1">'Asset Valuation'!$I$20</f>
        <v>75.809303654932961</v>
      </c>
      <c r="I7" s="682">
        <v>80</v>
      </c>
      <c r="J7" s="682">
        <v>85</v>
      </c>
      <c r="K7" s="682">
        <v>90</v>
      </c>
      <c r="L7" s="682">
        <v>95</v>
      </c>
      <c r="M7" s="682"/>
    </row>
    <row r="8" spans="1:16" ht="15" x14ac:dyDescent="0.35">
      <c r="B8" t="s">
        <v>817</v>
      </c>
      <c r="E8" s="653">
        <v>-20</v>
      </c>
      <c r="F8" s="653">
        <f t="shared" ref="F8:L8" si="0">+E8</f>
        <v>-20</v>
      </c>
      <c r="G8" s="653">
        <f t="shared" si="0"/>
        <v>-20</v>
      </c>
      <c r="H8" s="654">
        <f>+G8</f>
        <v>-20</v>
      </c>
      <c r="I8" s="653">
        <f>+G8</f>
        <v>-20</v>
      </c>
      <c r="J8" s="653">
        <f t="shared" si="0"/>
        <v>-20</v>
      </c>
      <c r="K8" s="653">
        <f t="shared" si="0"/>
        <v>-20</v>
      </c>
      <c r="L8" s="653">
        <f t="shared" si="0"/>
        <v>-20</v>
      </c>
      <c r="M8" s="653"/>
    </row>
    <row r="9" spans="1:16" x14ac:dyDescent="0.2">
      <c r="B9" t="s">
        <v>818</v>
      </c>
      <c r="E9" s="326">
        <f>SUM(E7:E8)</f>
        <v>40</v>
      </c>
      <c r="F9" s="326">
        <f t="shared" ref="F9:L9" si="1">SUM(F7:F8)</f>
        <v>45</v>
      </c>
      <c r="G9" s="326">
        <f t="shared" si="1"/>
        <v>50</v>
      </c>
      <c r="H9" s="655">
        <f t="shared" ca="1" si="1"/>
        <v>55.809303654932961</v>
      </c>
      <c r="I9" s="326">
        <f t="shared" si="1"/>
        <v>60</v>
      </c>
      <c r="J9" s="326">
        <f t="shared" si="1"/>
        <v>65</v>
      </c>
      <c r="K9" s="326">
        <f t="shared" si="1"/>
        <v>70</v>
      </c>
      <c r="L9" s="326">
        <f t="shared" si="1"/>
        <v>75</v>
      </c>
      <c r="M9" s="326"/>
    </row>
    <row r="10" spans="1:16" x14ac:dyDescent="0.2">
      <c r="G10" s="110"/>
      <c r="H10" s="219"/>
      <c r="I10" s="110"/>
      <c r="J10" s="110"/>
      <c r="K10" s="110"/>
      <c r="L10" s="110"/>
      <c r="M10" s="110"/>
      <c r="N10" s="80"/>
      <c r="P10" s="298"/>
    </row>
    <row r="11" spans="1:16" x14ac:dyDescent="0.2">
      <c r="B11" s="224" t="s">
        <v>439</v>
      </c>
      <c r="C11" s="67"/>
      <c r="G11" s="110"/>
      <c r="H11" s="219"/>
      <c r="I11" s="110"/>
      <c r="J11" s="110"/>
      <c r="K11" s="110"/>
      <c r="L11" s="110"/>
      <c r="M11" s="110"/>
      <c r="N11" s="80"/>
      <c r="P11" s="298"/>
    </row>
    <row r="12" spans="1:16" x14ac:dyDescent="0.2">
      <c r="B12">
        <v>2000</v>
      </c>
      <c r="C12" t="s">
        <v>791</v>
      </c>
      <c r="D12" s="652">
        <v>18</v>
      </c>
      <c r="E12" s="222">
        <f t="shared" ref="E12:L12" si="2">+E9/$D$12</f>
        <v>2.2222222222222223</v>
      </c>
      <c r="F12" s="222">
        <f t="shared" si="2"/>
        <v>2.5</v>
      </c>
      <c r="G12" s="222">
        <f t="shared" si="2"/>
        <v>2.7777777777777777</v>
      </c>
      <c r="H12" s="656">
        <f t="shared" ca="1" si="2"/>
        <v>3.1005168697184979</v>
      </c>
      <c r="I12" s="222">
        <f t="shared" si="2"/>
        <v>3.3333333333333335</v>
      </c>
      <c r="J12" s="222">
        <f t="shared" si="2"/>
        <v>3.6111111111111112</v>
      </c>
      <c r="K12" s="222">
        <f t="shared" si="2"/>
        <v>3.8888888888888888</v>
      </c>
      <c r="L12" s="222">
        <f t="shared" si="2"/>
        <v>4.166666666666667</v>
      </c>
      <c r="M12" s="222"/>
      <c r="N12" s="656"/>
      <c r="O12" s="222"/>
      <c r="P12" s="222"/>
    </row>
    <row r="13" spans="1:16" x14ac:dyDescent="0.2">
      <c r="D13" s="635"/>
      <c r="E13" s="634"/>
      <c r="F13" s="222"/>
      <c r="G13" s="255"/>
      <c r="H13" s="255"/>
      <c r="I13" s="255"/>
      <c r="J13" s="222"/>
      <c r="K13" s="222"/>
      <c r="L13" s="602"/>
    </row>
    <row r="14" spans="1:16" x14ac:dyDescent="0.2">
      <c r="L14" s="175"/>
    </row>
    <row r="15" spans="1:16" x14ac:dyDescent="0.2">
      <c r="B15" s="318"/>
    </row>
    <row r="16" spans="1:16" x14ac:dyDescent="0.2">
      <c r="B16" s="318" t="s">
        <v>849</v>
      </c>
    </row>
  </sheetData>
  <mergeCells count="1">
    <mergeCell ref="H1:M1"/>
  </mergeCells>
  <printOptions horizontalCentered="1"/>
  <pageMargins left="0.75" right="0.75" top="0.53" bottom="1" header="0.5" footer="0.5"/>
  <pageSetup scale="96" orientation="landscape" verticalDpi="200" r:id="rId1"/>
  <headerFooter alignWithMargins="0">
    <oddFooter>&amp;L&amp;7&amp;D &amp;T&amp;C&amp;8&amp;P&amp;R&amp;7o:/Corpdev/North America/Raul/Ammonia/&amp;F</oddFooter>
  </headerFooter>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2"/>
  <sheetViews>
    <sheetView zoomScale="75" workbookViewId="0">
      <selection activeCell="A30" sqref="A30"/>
    </sheetView>
  </sheetViews>
  <sheetFormatPr defaultRowHeight="12.75" x14ac:dyDescent="0.2"/>
  <cols>
    <col min="1" max="1" width="1.85546875" customWidth="1"/>
    <col min="2" max="2" width="12" customWidth="1"/>
    <col min="3" max="3" width="12.5703125" customWidth="1"/>
    <col min="4" max="4" width="3.42578125" customWidth="1"/>
    <col min="5" max="5" width="26.28515625" customWidth="1"/>
    <col min="6" max="6" width="23.85546875" customWidth="1"/>
    <col min="7" max="7" width="13.28515625" customWidth="1"/>
    <col min="8" max="8" width="19.42578125" customWidth="1"/>
    <col min="10" max="10" width="7.7109375" customWidth="1"/>
    <col min="11" max="11" width="15" customWidth="1"/>
    <col min="13" max="13" width="10.140625" customWidth="1"/>
  </cols>
  <sheetData>
    <row r="1" spans="1:14" ht="21" thickBot="1" x14ac:dyDescent="0.35">
      <c r="A1" s="365" t="s">
        <v>518</v>
      </c>
      <c r="B1" s="366"/>
      <c r="C1" s="366"/>
      <c r="D1" s="367"/>
      <c r="E1" s="367"/>
      <c r="F1" s="367"/>
      <c r="G1" s="360"/>
      <c r="H1" s="367"/>
      <c r="I1" s="360"/>
      <c r="J1" s="360"/>
      <c r="K1" s="368" t="s">
        <v>673</v>
      </c>
      <c r="L1" s="360"/>
      <c r="M1" s="360"/>
      <c r="N1" s="110"/>
    </row>
    <row r="2" spans="1:14" x14ac:dyDescent="0.2">
      <c r="A2" s="110"/>
      <c r="B2" s="323"/>
      <c r="C2" s="322"/>
      <c r="D2" s="322"/>
      <c r="E2" s="322"/>
      <c r="F2" s="110"/>
      <c r="G2" s="110"/>
      <c r="H2" s="110"/>
      <c r="I2" s="110"/>
      <c r="J2" s="110"/>
      <c r="K2" s="110"/>
      <c r="L2" s="110"/>
      <c r="M2" s="110"/>
      <c r="N2" s="110"/>
    </row>
    <row r="3" spans="1:14" x14ac:dyDescent="0.2">
      <c r="A3" s="110"/>
      <c r="B3" s="110"/>
      <c r="C3" s="110"/>
      <c r="D3" s="110"/>
      <c r="E3" s="110"/>
      <c r="F3" s="110"/>
      <c r="G3" s="110"/>
      <c r="H3" s="110"/>
      <c r="I3" s="110"/>
      <c r="J3" s="110"/>
      <c r="K3" s="586" t="s">
        <v>656</v>
      </c>
      <c r="L3" s="110"/>
      <c r="M3" s="110"/>
      <c r="N3" s="110"/>
    </row>
    <row r="4" spans="1:14" x14ac:dyDescent="0.2">
      <c r="A4" s="110"/>
      <c r="F4" s="219"/>
      <c r="G4" s="110"/>
      <c r="H4" s="110"/>
      <c r="I4" s="110"/>
      <c r="J4" s="110"/>
      <c r="K4" s="110"/>
      <c r="L4" s="110"/>
      <c r="M4" s="110"/>
      <c r="N4" s="110"/>
    </row>
    <row r="5" spans="1:14" x14ac:dyDescent="0.2">
      <c r="A5" s="110"/>
      <c r="F5" s="219"/>
      <c r="G5" s="110"/>
      <c r="H5" s="110"/>
      <c r="I5" s="110"/>
      <c r="J5" s="110"/>
      <c r="K5" s="110"/>
      <c r="L5" s="110"/>
      <c r="M5" s="110"/>
      <c r="N5" s="110"/>
    </row>
    <row r="6" spans="1:14" x14ac:dyDescent="0.2">
      <c r="A6" s="110"/>
      <c r="F6" s="219"/>
      <c r="G6" s="110"/>
      <c r="H6" s="110"/>
      <c r="I6" s="110"/>
      <c r="J6" s="110"/>
      <c r="K6" s="110"/>
      <c r="L6" s="110"/>
      <c r="M6" s="110"/>
      <c r="N6" s="110"/>
    </row>
    <row r="7" spans="1:14" x14ac:dyDescent="0.2">
      <c r="A7" s="110"/>
      <c r="F7" s="219"/>
      <c r="G7" s="110"/>
      <c r="H7" s="110"/>
      <c r="I7" s="110"/>
      <c r="J7" s="110"/>
      <c r="K7" s="110"/>
      <c r="L7" s="110"/>
      <c r="M7" s="110"/>
      <c r="N7" s="110"/>
    </row>
    <row r="8" spans="1:14" x14ac:dyDescent="0.2">
      <c r="A8" s="110"/>
      <c r="F8" s="110"/>
      <c r="G8" s="110"/>
      <c r="H8" s="110"/>
      <c r="I8" s="110"/>
      <c r="J8" s="110"/>
      <c r="K8" s="110"/>
      <c r="L8" s="110"/>
      <c r="M8" s="110"/>
      <c r="N8" s="110"/>
    </row>
    <row r="9" spans="1:14" ht="20.25" x14ac:dyDescent="0.3">
      <c r="A9" s="110"/>
      <c r="E9" s="484"/>
      <c r="F9" s="484"/>
      <c r="G9" s="837" t="s">
        <v>606</v>
      </c>
      <c r="H9" s="837"/>
      <c r="I9" s="110"/>
    </row>
    <row r="10" spans="1:14" ht="20.25" x14ac:dyDescent="0.3">
      <c r="A10" s="110"/>
      <c r="E10" s="485"/>
      <c r="F10" s="485"/>
      <c r="G10" s="485"/>
      <c r="H10" s="486"/>
      <c r="I10" s="219"/>
    </row>
    <row r="11" spans="1:14" ht="20.25" x14ac:dyDescent="0.3">
      <c r="A11" s="110"/>
      <c r="E11" s="643" t="s">
        <v>793</v>
      </c>
      <c r="F11" s="486"/>
      <c r="G11" s="487">
        <f ca="1">+'Asset Valuation'!$I$20</f>
        <v>75.809303654932961</v>
      </c>
      <c r="H11" s="487">
        <f ca="1">+'Asset Valuation'!$I$20</f>
        <v>75.809303654932961</v>
      </c>
      <c r="I11" s="110"/>
    </row>
    <row r="12" spans="1:14" ht="24.75" x14ac:dyDescent="0.6">
      <c r="A12" s="110"/>
      <c r="E12" s="643" t="s">
        <v>572</v>
      </c>
      <c r="F12" s="486"/>
      <c r="G12" s="578">
        <v>240</v>
      </c>
      <c r="H12" s="578">
        <v>280</v>
      </c>
      <c r="I12" s="110"/>
    </row>
    <row r="13" spans="1:14" ht="20.25" x14ac:dyDescent="0.3">
      <c r="A13" s="110"/>
      <c r="E13" s="643" t="s">
        <v>438</v>
      </c>
      <c r="F13" s="486"/>
      <c r="G13" s="487">
        <f ca="1">+G11+G12</f>
        <v>315.80930365493293</v>
      </c>
      <c r="H13" s="487">
        <f ca="1">+H11+H12</f>
        <v>355.80930365493293</v>
      </c>
      <c r="I13" s="110"/>
    </row>
    <row r="14" spans="1:14" ht="20.25" x14ac:dyDescent="0.3">
      <c r="A14" s="110"/>
      <c r="E14" s="643"/>
      <c r="F14" s="486"/>
      <c r="G14" s="486"/>
      <c r="H14" s="486"/>
      <c r="I14" s="110"/>
    </row>
    <row r="15" spans="1:14" ht="20.25" x14ac:dyDescent="0.3">
      <c r="A15" s="110"/>
      <c r="E15" s="643" t="s">
        <v>573</v>
      </c>
      <c r="F15" s="486"/>
      <c r="G15" s="488">
        <f>-'S &amp; U'!$J$14</f>
        <v>-180.4</v>
      </c>
      <c r="H15" s="488">
        <f>-'S &amp; U'!$J$14</f>
        <v>-180.4</v>
      </c>
      <c r="I15" s="110"/>
    </row>
    <row r="16" spans="1:14" ht="24.75" x14ac:dyDescent="0.6">
      <c r="A16" s="110"/>
      <c r="E16" s="643" t="s">
        <v>118</v>
      </c>
      <c r="F16" s="486"/>
      <c r="G16" s="633">
        <f ca="1">Assumptions!$B$46</f>
        <v>37.95531955949226</v>
      </c>
      <c r="H16" s="633">
        <f ca="1">Assumptions!$B$46</f>
        <v>37.95531955949226</v>
      </c>
      <c r="I16" s="110"/>
    </row>
    <row r="17" spans="1:9" ht="20.25" x14ac:dyDescent="0.3">
      <c r="A17" s="110"/>
      <c r="E17" s="643" t="s">
        <v>114</v>
      </c>
      <c r="F17" s="489"/>
      <c r="G17" s="476">
        <f ca="1">+G13+G15+G16</f>
        <v>173.36462321442519</v>
      </c>
      <c r="H17" s="476">
        <f ca="1">+H13+H15+H16</f>
        <v>213.36462321442519</v>
      </c>
      <c r="I17" s="110"/>
    </row>
    <row r="18" spans="1:9" ht="15" x14ac:dyDescent="0.2">
      <c r="A18" s="110"/>
      <c r="E18" s="420"/>
      <c r="F18" s="420"/>
      <c r="G18" s="420"/>
      <c r="H18" s="420"/>
      <c r="I18" s="110"/>
    </row>
    <row r="19" spans="1:9" ht="15" x14ac:dyDescent="0.2">
      <c r="E19" s="307"/>
      <c r="F19" s="307"/>
      <c r="G19" s="307"/>
      <c r="H19" s="307"/>
    </row>
    <row r="22" spans="1:9" x14ac:dyDescent="0.2">
      <c r="G22" s="321"/>
    </row>
  </sheetData>
  <mergeCells count="1">
    <mergeCell ref="G9:H9"/>
  </mergeCells>
  <printOptions horizontalCentered="1"/>
  <pageMargins left="0.75" right="0.75" top="0.53" bottom="1" header="0.5" footer="0.5"/>
  <pageSetup scale="74" orientation="landscape" verticalDpi="200" r:id="rId1"/>
  <headerFooter alignWithMargins="0">
    <oddFooter>&amp;L&amp;7&amp;D &amp;T&amp;C&amp;8&amp;P&amp;R&amp;7o:/Corpdev/North America/Raul/Ammonia/&amp;F</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2"/>
  <sheetViews>
    <sheetView zoomScale="75" zoomScaleNormal="100" zoomScaleSheetLayoutView="100" workbookViewId="0">
      <selection activeCell="A30" sqref="A30"/>
    </sheetView>
  </sheetViews>
  <sheetFormatPr defaultRowHeight="12.75" x14ac:dyDescent="0.2"/>
  <cols>
    <col min="1" max="1" width="3.7109375" customWidth="1"/>
    <col min="2" max="2" width="12.7109375" customWidth="1"/>
    <col min="3" max="4" width="10.28515625" customWidth="1"/>
    <col min="5" max="14" width="12" customWidth="1"/>
    <col min="18" max="19" width="9.140625" style="110"/>
  </cols>
  <sheetData>
    <row r="1" spans="1:17" ht="28.5" thickBot="1" x14ac:dyDescent="0.45">
      <c r="A1" s="370" t="s">
        <v>518</v>
      </c>
      <c r="B1" s="343"/>
      <c r="C1" s="343"/>
      <c r="D1" s="344"/>
      <c r="E1" s="344"/>
      <c r="F1" s="344"/>
      <c r="G1" s="355"/>
      <c r="H1" s="360"/>
      <c r="I1" s="360"/>
      <c r="J1" s="360"/>
      <c r="K1" s="360"/>
      <c r="L1" s="360"/>
      <c r="M1" s="391" t="s">
        <v>660</v>
      </c>
      <c r="N1" s="360"/>
      <c r="O1" s="360"/>
      <c r="P1" s="360"/>
      <c r="Q1" s="360"/>
    </row>
    <row r="2" spans="1:17" ht="26.25" x14ac:dyDescent="0.4">
      <c r="A2" s="358"/>
      <c r="B2" s="338"/>
      <c r="C2" s="338"/>
      <c r="D2" s="337"/>
      <c r="E2" s="337"/>
      <c r="F2" s="337"/>
      <c r="G2" s="359"/>
    </row>
    <row r="3" spans="1:17" ht="26.25" x14ac:dyDescent="0.4">
      <c r="A3" s="358"/>
      <c r="B3" s="338"/>
      <c r="C3" s="338"/>
      <c r="D3" s="337"/>
      <c r="E3" s="337"/>
      <c r="F3" s="337"/>
      <c r="G3" s="359"/>
      <c r="N3" s="588"/>
      <c r="O3" s="588" t="s">
        <v>659</v>
      </c>
    </row>
    <row r="4" spans="1:17" ht="26.25" x14ac:dyDescent="0.4">
      <c r="A4" s="358"/>
      <c r="B4" s="338"/>
      <c r="C4" s="338"/>
      <c r="D4" s="337"/>
      <c r="E4" s="337"/>
      <c r="F4" s="337"/>
      <c r="G4" s="359"/>
    </row>
    <row r="5" spans="1:17" ht="15" x14ac:dyDescent="0.25">
      <c r="B5" s="372" t="s">
        <v>568</v>
      </c>
      <c r="C5" s="315"/>
      <c r="D5" s="315"/>
      <c r="E5" s="315"/>
      <c r="F5" s="315"/>
      <c r="G5" s="315"/>
      <c r="H5" s="315"/>
      <c r="I5" s="477" t="s">
        <v>600</v>
      </c>
      <c r="J5" s="477" t="s">
        <v>601</v>
      </c>
      <c r="K5" s="315"/>
      <c r="L5" s="315"/>
      <c r="M5" s="315"/>
      <c r="N5" s="315"/>
    </row>
    <row r="6" spans="1:17" ht="15" x14ac:dyDescent="0.25">
      <c r="B6" s="315"/>
      <c r="C6" s="315"/>
      <c r="D6" s="315"/>
      <c r="E6" s="579">
        <v>1997</v>
      </c>
      <c r="F6" s="580">
        <v>1998</v>
      </c>
      <c r="G6" s="580">
        <v>1999</v>
      </c>
      <c r="H6" s="580">
        <v>2000</v>
      </c>
      <c r="I6" s="582">
        <v>2001</v>
      </c>
      <c r="J6" s="580">
        <v>2001</v>
      </c>
      <c r="K6" s="580">
        <v>2002</v>
      </c>
      <c r="L6" s="580">
        <v>2003</v>
      </c>
      <c r="M6" s="580">
        <v>2004</v>
      </c>
      <c r="N6" s="581">
        <v>2005</v>
      </c>
    </row>
    <row r="7" spans="1:17" ht="14.25" x14ac:dyDescent="0.2">
      <c r="B7" s="315" t="s">
        <v>394</v>
      </c>
      <c r="C7" s="315"/>
      <c r="D7" s="315"/>
      <c r="E7" s="373">
        <f>('Income Statement'!C8+'Income Statement'!C9+'Income Statement'!C11)/1000</f>
        <v>2100.5300000000002</v>
      </c>
      <c r="F7" s="373">
        <f>('Income Statement'!D8+'Income Statement'!D9+'Income Statement'!D11)/1000</f>
        <v>1382.2660000000001</v>
      </c>
      <c r="G7" s="373">
        <f>('Income Statement'!E8+'Income Statement'!E9+'Income Statement'!E11)/1000</f>
        <v>1481.2840000000001</v>
      </c>
      <c r="H7" s="660">
        <f>('Income Statement'!F8+'Income Statement'!F9+'Income Statement'!F11)/1000</f>
        <v>2447.7750000000001</v>
      </c>
      <c r="I7" s="573">
        <f ca="1">('Income Statement'!G8+'Income Statement'!G9+'Income Statement'!G11)/1000</f>
        <v>1021.3035833333333</v>
      </c>
      <c r="J7" s="373">
        <f ca="1">('Income Statement'!H8+'Income Statement'!H9+'Income Statement'!H11)/1000</f>
        <v>990.44583333333333</v>
      </c>
      <c r="K7" s="373">
        <f ca="1">('Income Statement'!J8+'Income Statement'!J9+'Income Statement'!J11)/1000</f>
        <v>2054.9272133333334</v>
      </c>
      <c r="L7" s="373">
        <f ca="1">('Income Statement'!K8+'Income Statement'!K9+'Income Statement'!K11)/1000</f>
        <v>2092.7111818666672</v>
      </c>
      <c r="M7" s="373">
        <f ca="1">('Income Statement'!L8+'Income Statement'!L9+'Income Statement'!L11)/1000</f>
        <v>2171.0870691413329</v>
      </c>
      <c r="N7" s="373">
        <f ca="1">('Income Statement'!M8+'Income Statement'!M9+'Income Statement'!M11)/1000</f>
        <v>2246.997991906987</v>
      </c>
    </row>
    <row r="8" spans="1:17" ht="14.25" x14ac:dyDescent="0.2">
      <c r="B8" s="315" t="s">
        <v>395</v>
      </c>
      <c r="C8" s="315"/>
      <c r="D8" s="315"/>
      <c r="E8" s="374">
        <f>-('Income Statement'!C20-'Cash Flow '!C10-'Income Statement'!C18-'Income Statement'!C19)/1000</f>
        <v>-2060.4059999999999</v>
      </c>
      <c r="F8" s="374">
        <f>-('Income Statement'!D20-'Cash Flow '!D10-'Income Statement'!D18-'Income Statement'!D19)/1000</f>
        <v>-1333.0719999999999</v>
      </c>
      <c r="G8" s="374">
        <f>-('Income Statement'!E20-'Cash Flow '!E10-'Income Statement'!E18-'Income Statement'!E19)/1000</f>
        <v>-1417.278</v>
      </c>
      <c r="H8" s="661">
        <f>-('Income Statement'!F20-'Cash Flow '!F10-'Income Statement'!F18-'Income Statement'!F19)/1000</f>
        <v>-2349.864</v>
      </c>
      <c r="I8" s="672">
        <f ca="1">-('Income Statement'!G20-'Cash Flow '!G10-'Income Statement'!G18-'Income Statement'!G19)/1000</f>
        <v>-980.45143999999993</v>
      </c>
      <c r="J8" s="374">
        <f ca="1">-('Income Statement'!H20-'Cash Flow '!H10-'Income Statement'!H18-'Income Statement'!H19)/1000</f>
        <v>-950.82799999999997</v>
      </c>
      <c r="K8" s="374">
        <f ca="1">-('Income Statement'!J20-'Cash Flow '!J10-'Income Statement'!J18-'Income Statement'!J19)/1000</f>
        <v>-1972.7301248000001</v>
      </c>
      <c r="L8" s="374">
        <f ca="1">-('Income Statement'!K20-'Cash Flow '!K10-'Income Statement'!K18-'Income Statement'!K19)/1000</f>
        <v>-2009.0027345920005</v>
      </c>
      <c r="M8" s="374">
        <f ca="1">-('Income Statement'!L20-'Cash Flow '!L10-'Income Statement'!L18-'Income Statement'!L19)/1000</f>
        <v>-2084.2435863756796</v>
      </c>
      <c r="N8" s="374">
        <f ca="1">-('Income Statement'!M20-'Cash Flow '!M10-'Income Statement'!M18-'Income Statement'!M19)/1000</f>
        <v>-2157.1180722307067</v>
      </c>
    </row>
    <row r="9" spans="1:17" ht="14.25" x14ac:dyDescent="0.2">
      <c r="B9" s="315" t="s">
        <v>524</v>
      </c>
      <c r="C9" s="315"/>
      <c r="D9" s="315"/>
      <c r="E9" s="605">
        <f>+'Income Statement'!C26/1000</f>
        <v>0</v>
      </c>
      <c r="F9" s="605">
        <f>+'Income Statement'!D26/1000</f>
        <v>0</v>
      </c>
      <c r="G9" s="605">
        <f>+'Income Statement'!E26/1000</f>
        <v>0</v>
      </c>
      <c r="H9" s="663">
        <f>+'Income Statement'!F26/1000</f>
        <v>0</v>
      </c>
      <c r="I9" s="673">
        <f>+'Income Statement'!G26/1000</f>
        <v>0</v>
      </c>
      <c r="J9" s="605">
        <f>+'Income Statement'!H26/1000</f>
        <v>0</v>
      </c>
      <c r="K9" s="605">
        <f>+'Income Statement'!J26/1000</f>
        <v>7.1394706666666661</v>
      </c>
      <c r="L9" s="605">
        <f>+'Income Statement'!K26/1000</f>
        <v>14.450098986666667</v>
      </c>
      <c r="M9" s="605">
        <f>+'Income Statement'!L26/1000</f>
        <v>21.942154419200001</v>
      </c>
      <c r="N9" s="605">
        <f>+'Income Statement'!M26/1000</f>
        <v>29.626454127957334</v>
      </c>
    </row>
    <row r="10" spans="1:17" ht="14.25" x14ac:dyDescent="0.2">
      <c r="B10" s="315" t="s">
        <v>564</v>
      </c>
      <c r="C10" s="315"/>
      <c r="D10" s="315"/>
      <c r="E10" s="374">
        <f>SUM(E7:E9)</f>
        <v>40.124000000000251</v>
      </c>
      <c r="F10" s="374">
        <f t="shared" ref="F10:N10" si="0">SUM(F7:F9)</f>
        <v>49.194000000000187</v>
      </c>
      <c r="G10" s="374">
        <f t="shared" si="0"/>
        <v>64.006000000000085</v>
      </c>
      <c r="H10" s="661">
        <f t="shared" si="0"/>
        <v>97.911000000000058</v>
      </c>
      <c r="I10" s="672">
        <f t="shared" ca="1" si="0"/>
        <v>40.852143333333402</v>
      </c>
      <c r="J10" s="374">
        <f t="shared" ca="1" si="0"/>
        <v>39.617833333333351</v>
      </c>
      <c r="K10" s="374">
        <f t="shared" ca="1" si="0"/>
        <v>89.33655919999994</v>
      </c>
      <c r="L10" s="374">
        <f t="shared" ca="1" si="0"/>
        <v>98.158546261333356</v>
      </c>
      <c r="M10" s="374">
        <f t="shared" ca="1" si="0"/>
        <v>108.78563718485333</v>
      </c>
      <c r="N10" s="374">
        <f t="shared" ca="1" si="0"/>
        <v>119.50637380423755</v>
      </c>
    </row>
    <row r="11" spans="1:17" ht="14.25" x14ac:dyDescent="0.2">
      <c r="B11" s="315"/>
      <c r="C11" s="315"/>
      <c r="D11" s="315"/>
      <c r="E11" s="375"/>
      <c r="F11" s="375"/>
      <c r="G11" s="375"/>
      <c r="H11" s="604"/>
      <c r="I11" s="674"/>
      <c r="J11" s="375"/>
      <c r="K11" s="375"/>
      <c r="L11" s="375"/>
      <c r="M11" s="375"/>
      <c r="N11" s="375"/>
    </row>
    <row r="12" spans="1:17" ht="14.25" x14ac:dyDescent="0.2">
      <c r="B12" s="315" t="s">
        <v>675</v>
      </c>
      <c r="C12" s="315"/>
      <c r="D12" s="315"/>
      <c r="E12" s="605">
        <f>-'Income Statement'!C18/1000</f>
        <v>-40.457999999999998</v>
      </c>
      <c r="F12" s="605">
        <f>-'Income Statement'!D18/1000</f>
        <v>-39.226999999999997</v>
      </c>
      <c r="G12" s="605">
        <f>-'Income Statement'!E18/1000</f>
        <v>-45.703000000000003</v>
      </c>
      <c r="H12" s="663">
        <f>-'Income Statement'!F18/1000</f>
        <v>-61.502000000000002</v>
      </c>
      <c r="I12" s="673">
        <f>-'Income Statement'!G18/1000</f>
        <v>-21.599</v>
      </c>
      <c r="J12" s="605">
        <f ca="1">-'Income Statement'!H18/1000</f>
        <v>-22.853478666666668</v>
      </c>
      <c r="K12" s="605">
        <f ca="1">-'Income Statement'!J18/1000</f>
        <v>-46.232394666666664</v>
      </c>
      <c r="L12" s="605">
        <f ca="1">-'Income Statement'!K18/1000</f>
        <v>-46.465145493333338</v>
      </c>
      <c r="M12" s="605">
        <f ca="1">-'Income Statement'!L18/1000</f>
        <v>-47.01985083306667</v>
      </c>
      <c r="N12" s="605">
        <f ca="1">-'Income Statement'!M18/1000</f>
        <v>-47.551944386389337</v>
      </c>
    </row>
    <row r="13" spans="1:17" ht="14.25" x14ac:dyDescent="0.2">
      <c r="B13" s="315" t="s">
        <v>107</v>
      </c>
      <c r="C13" s="315"/>
      <c r="D13" s="315"/>
      <c r="E13" s="373">
        <f>SUM(E10:E12)</f>
        <v>-0.33399999999974739</v>
      </c>
      <c r="F13" s="373">
        <f t="shared" ref="F13:N13" si="1">SUM(F10:F12)</f>
        <v>9.9670000000001906</v>
      </c>
      <c r="G13" s="373">
        <f t="shared" si="1"/>
        <v>18.303000000000083</v>
      </c>
      <c r="H13" s="373">
        <f t="shared" si="1"/>
        <v>36.409000000000056</v>
      </c>
      <c r="I13" s="573">
        <f t="shared" ca="1" si="1"/>
        <v>19.253143333333401</v>
      </c>
      <c r="J13" s="373">
        <f t="shared" ca="1" si="1"/>
        <v>16.764354666666684</v>
      </c>
      <c r="K13" s="373">
        <f t="shared" ca="1" si="1"/>
        <v>43.104164533333275</v>
      </c>
      <c r="L13" s="373">
        <f t="shared" ca="1" si="1"/>
        <v>51.693400768000018</v>
      </c>
      <c r="M13" s="373">
        <f t="shared" ca="1" si="1"/>
        <v>61.765786351786659</v>
      </c>
      <c r="N13" s="373">
        <f t="shared" ca="1" si="1"/>
        <v>71.954429417848218</v>
      </c>
    </row>
    <row r="14" spans="1:17" ht="14.25" x14ac:dyDescent="0.2">
      <c r="B14" s="315"/>
      <c r="C14" s="315"/>
      <c r="D14" s="315"/>
      <c r="E14" s="373"/>
      <c r="F14" s="373"/>
      <c r="G14" s="373"/>
      <c r="H14" s="373"/>
      <c r="I14" s="573"/>
      <c r="J14" s="373"/>
      <c r="K14" s="373"/>
      <c r="L14" s="373"/>
      <c r="M14" s="373"/>
      <c r="N14" s="373"/>
    </row>
    <row r="15" spans="1:17" ht="14.25" x14ac:dyDescent="0.2">
      <c r="B15" s="679" t="s">
        <v>821</v>
      </c>
      <c r="C15" s="315"/>
      <c r="D15" s="315"/>
      <c r="E15" s="373"/>
      <c r="F15" s="680">
        <f ca="1">+'Sea-3 NH '!F22/1000</f>
        <v>5.4768160999999997</v>
      </c>
      <c r="G15" s="680">
        <f ca="1">+'Sea-3 NH '!G22/1000</f>
        <v>5.5224327999999989</v>
      </c>
      <c r="H15" s="680">
        <f>+('Sea-3 NH '!H22+'Sea-3 Tampa'!H21)/1000</f>
        <v>6.8370775999999989</v>
      </c>
      <c r="I15" s="681">
        <f ca="1">+('Sea-3 NH '!I22+'Sea-3 Tampa'!I21)/1000</f>
        <v>4.4727223999999994</v>
      </c>
      <c r="J15" s="662">
        <f ca="1">+('Sea-3 NH '!J22+'Sea-3 Tampa'!J21)/1000</f>
        <v>4.4300600000000001</v>
      </c>
      <c r="K15" s="685">
        <f ca="1">+('Sea-3 NH '!K22+'Sea-3 Tampa'!K21)/1000</f>
        <v>9.0422666666666665</v>
      </c>
      <c r="L15" s="685">
        <f ca="1">+('Sea-3 NH '!L22+'Sea-3 Tampa'!L21)/1000</f>
        <v>7.6274325333333337</v>
      </c>
      <c r="M15" s="685">
        <f ca="1">+('Sea-3 NH '!M22+'Sea-3 Tampa'!M21)/1000</f>
        <v>7.7192274346666681</v>
      </c>
      <c r="N15" s="685">
        <f ca="1">+('Sea-3 NH '!N22+'Sea-3 Tampa'!N21)/1000</f>
        <v>7.5906941320533337</v>
      </c>
    </row>
    <row r="16" spans="1:17" ht="14.25" x14ac:dyDescent="0.2">
      <c r="B16" s="679" t="s">
        <v>822</v>
      </c>
      <c r="C16" s="315"/>
      <c r="D16" s="315"/>
      <c r="E16" s="373"/>
      <c r="F16" s="680">
        <f>+'Rail Ops'!F18/1000</f>
        <v>3.18</v>
      </c>
      <c r="G16" s="680">
        <f>+'Rail Ops'!G18/1000</f>
        <v>3.3639999999999999</v>
      </c>
      <c r="H16" s="680">
        <f>+'Rail Ops'!H18/1000</f>
        <v>3.8580000000000001</v>
      </c>
      <c r="I16" s="681">
        <f>+'Rail Ops'!I18/1000</f>
        <v>1.72675</v>
      </c>
      <c r="J16" s="662">
        <f>+'Rail Ops'!J18/1000</f>
        <v>1.72675</v>
      </c>
      <c r="K16" s="685">
        <f>+'Rail Ops'!K18/1000</f>
        <v>3.4535</v>
      </c>
      <c r="L16" s="685">
        <f>+'Rail Ops'!L18/1000</f>
        <v>3.4257399999999998</v>
      </c>
      <c r="M16" s="685">
        <f>+'Rail Ops'!M18/1000</f>
        <v>3.3968696</v>
      </c>
      <c r="N16" s="685">
        <f>+'Rail Ops'!N18/1000</f>
        <v>3.3668443840000002</v>
      </c>
    </row>
    <row r="17" spans="2:14" ht="14.25" x14ac:dyDescent="0.2">
      <c r="B17" s="679" t="s">
        <v>823</v>
      </c>
      <c r="C17" s="315"/>
      <c r="D17" s="315"/>
      <c r="E17" s="660"/>
      <c r="F17" s="685">
        <f t="shared" ref="F17:N17" ca="1" si="2">+F13-F15-F16</f>
        <v>1.3101839000001907</v>
      </c>
      <c r="G17" s="685">
        <f t="shared" ca="1" si="2"/>
        <v>9.4165672000000846</v>
      </c>
      <c r="H17" s="684">
        <f t="shared" si="2"/>
        <v>25.713922400000055</v>
      </c>
      <c r="I17" s="681">
        <f t="shared" ca="1" si="2"/>
        <v>13.053670933333404</v>
      </c>
      <c r="J17" s="662">
        <f t="shared" ca="1" si="2"/>
        <v>10.607544666666683</v>
      </c>
      <c r="K17" s="685">
        <f t="shared" ca="1" si="2"/>
        <v>30.608397866666614</v>
      </c>
      <c r="L17" s="685">
        <f t="shared" ca="1" si="2"/>
        <v>40.640228234666687</v>
      </c>
      <c r="M17" s="685">
        <f t="shared" ca="1" si="2"/>
        <v>50.649689317119986</v>
      </c>
      <c r="N17" s="685">
        <f t="shared" ca="1" si="2"/>
        <v>60.996890901794885</v>
      </c>
    </row>
    <row r="18" spans="2:14" ht="14.25" x14ac:dyDescent="0.2">
      <c r="B18" s="315"/>
      <c r="C18" s="315"/>
      <c r="D18" s="315"/>
      <c r="E18" s="373"/>
      <c r="F18" s="373"/>
      <c r="G18" s="373"/>
      <c r="H18" s="660"/>
      <c r="I18" s="573"/>
      <c r="J18" s="373"/>
      <c r="K18" s="373"/>
      <c r="L18" s="373"/>
      <c r="M18" s="373"/>
      <c r="N18" s="373"/>
    </row>
    <row r="19" spans="2:14" ht="14.25" x14ac:dyDescent="0.2">
      <c r="B19" s="315" t="s">
        <v>396</v>
      </c>
      <c r="C19" s="315"/>
      <c r="D19" s="315"/>
      <c r="E19" s="375">
        <f>-'Cash Flow '!C10/1000</f>
        <v>-2.7989999999999999</v>
      </c>
      <c r="F19" s="375">
        <f>-'Cash Flow '!D10/1000</f>
        <v>-2.895</v>
      </c>
      <c r="G19" s="375">
        <f>-'Cash Flow '!E10/1000</f>
        <v>-2.1459999999999999</v>
      </c>
      <c r="H19" s="604">
        <f>-'Cash Flow '!F10/1000</f>
        <v>-3.3</v>
      </c>
      <c r="I19" s="674">
        <f ca="1">-'Cash Flow '!G10/1000</f>
        <v>-1.3329317275822159</v>
      </c>
      <c r="J19" s="375">
        <f ca="1">-'Cash Flow '!H10/1000</f>
        <v>-1.8450399427051036</v>
      </c>
      <c r="K19" s="375">
        <f ca="1">-'Cash Flow '!J10/1000</f>
        <v>-3.7067465520768743</v>
      </c>
      <c r="L19" s="375">
        <f ca="1">-'Cash Flow '!K10/1000</f>
        <v>-3.7234132187435409</v>
      </c>
      <c r="M19" s="375">
        <f ca="1">-'Cash Flow '!L10/1000</f>
        <v>-3.7400798854102071</v>
      </c>
      <c r="N19" s="375">
        <f ca="1">-'Cash Flow '!M10/1000</f>
        <v>-3.7567465520768741</v>
      </c>
    </row>
    <row r="20" spans="2:14" ht="14.25" x14ac:dyDescent="0.2">
      <c r="B20" s="315" t="s">
        <v>82</v>
      </c>
      <c r="C20" s="315"/>
      <c r="D20" s="315"/>
      <c r="E20" s="373">
        <f t="shared" ref="E20:N20" si="3">E13+E19</f>
        <v>-3.1329999999997473</v>
      </c>
      <c r="F20" s="373">
        <f t="shared" si="3"/>
        <v>7.072000000000191</v>
      </c>
      <c r="G20" s="373">
        <f t="shared" si="3"/>
        <v>16.157000000000082</v>
      </c>
      <c r="H20" s="660">
        <f t="shared" si="3"/>
        <v>33.109000000000059</v>
      </c>
      <c r="I20" s="573">
        <f t="shared" ca="1" si="3"/>
        <v>17.920211605751184</v>
      </c>
      <c r="J20" s="373">
        <f t="shared" ca="1" si="3"/>
        <v>14.91931472396158</v>
      </c>
      <c r="K20" s="373">
        <f t="shared" ca="1" si="3"/>
        <v>39.397417981256403</v>
      </c>
      <c r="L20" s="373">
        <f t="shared" ca="1" si="3"/>
        <v>47.96998754925648</v>
      </c>
      <c r="M20" s="373">
        <f t="shared" ca="1" si="3"/>
        <v>58.025706466376448</v>
      </c>
      <c r="N20" s="373">
        <f t="shared" ca="1" si="3"/>
        <v>68.197682865771341</v>
      </c>
    </row>
    <row r="21" spans="2:14" ht="14.25" x14ac:dyDescent="0.2">
      <c r="B21" s="315"/>
      <c r="C21" s="315"/>
      <c r="D21" s="315"/>
      <c r="E21" s="373"/>
      <c r="F21" s="373"/>
      <c r="G21" s="373"/>
      <c r="H21" s="660"/>
      <c r="I21" s="573"/>
      <c r="J21" s="373"/>
      <c r="K21" s="373"/>
      <c r="L21" s="373"/>
      <c r="M21" s="373"/>
      <c r="N21" s="373"/>
    </row>
    <row r="22" spans="2:14" ht="14.25" x14ac:dyDescent="0.2">
      <c r="B22" s="315" t="s">
        <v>812</v>
      </c>
      <c r="C22" s="315"/>
      <c r="D22" s="315"/>
      <c r="E22" s="375">
        <f>-+'Income Statement'!C19/1000+'Income Statement'!C10/1000</f>
        <v>-1.786</v>
      </c>
      <c r="F22" s="375">
        <f>-+'Income Statement'!D19/1000+'Income Statement'!D10/1000</f>
        <v>-1.5469999999999997</v>
      </c>
      <c r="G22" s="375">
        <f>-+'Income Statement'!E19/1000+'Income Statement'!E10/1000</f>
        <v>-3.1479999999999997</v>
      </c>
      <c r="H22" s="604">
        <f>-+'Income Statement'!F19/1000+'Income Statement'!F10/1000</f>
        <v>-7.9779999999999998</v>
      </c>
      <c r="I22" s="674">
        <f>-+'Income Statement'!G19/1000+'Income Statement'!G10/1000</f>
        <v>-6.097575</v>
      </c>
      <c r="J22" s="375">
        <f>-+'Income Statement'!H19/1000+'Income Statement'!H10/1000</f>
        <v>-6.7649999999999997</v>
      </c>
      <c r="K22" s="375">
        <f>-+'Income Statement'!J19/1000+'Income Statement'!J10/1000</f>
        <v>-13.53</v>
      </c>
      <c r="L22" s="375">
        <f>-+'Income Statement'!K19/1000+'Income Statement'!K10/1000</f>
        <v>-13.53</v>
      </c>
      <c r="M22" s="375">
        <f>-+'Income Statement'!L19/1000+'Income Statement'!L10/1000</f>
        <v>-13.53</v>
      </c>
      <c r="N22" s="375">
        <f>-+'Income Statement'!M19/1000+'Income Statement'!M10/1000</f>
        <v>-13.53</v>
      </c>
    </row>
    <row r="23" spans="2:14" ht="14.25" x14ac:dyDescent="0.2">
      <c r="B23" s="315" t="s">
        <v>397</v>
      </c>
      <c r="C23" s="315"/>
      <c r="D23" s="315"/>
      <c r="E23" s="373">
        <f t="shared" ref="E23:N23" si="4">E20+E22</f>
        <v>-4.9189999999997474</v>
      </c>
      <c r="F23" s="373">
        <f t="shared" si="4"/>
        <v>5.5250000000001913</v>
      </c>
      <c r="G23" s="373">
        <f t="shared" si="4"/>
        <v>13.009000000000082</v>
      </c>
      <c r="H23" s="660">
        <f t="shared" si="4"/>
        <v>25.131000000000057</v>
      </c>
      <c r="I23" s="573">
        <f t="shared" ca="1" si="4"/>
        <v>11.822636605751185</v>
      </c>
      <c r="J23" s="373">
        <f t="shared" ca="1" si="4"/>
        <v>8.1543147239615799</v>
      </c>
      <c r="K23" s="373">
        <f t="shared" ca="1" si="4"/>
        <v>25.867417981256402</v>
      </c>
      <c r="L23" s="373">
        <f t="shared" ca="1" si="4"/>
        <v>34.439987549256479</v>
      </c>
      <c r="M23" s="373">
        <f t="shared" ca="1" si="4"/>
        <v>44.495706466376447</v>
      </c>
      <c r="N23" s="373">
        <f t="shared" ca="1" si="4"/>
        <v>54.66768286577134</v>
      </c>
    </row>
    <row r="24" spans="2:14" ht="14.25" x14ac:dyDescent="0.2">
      <c r="B24" s="315"/>
      <c r="C24" s="315"/>
      <c r="D24" s="315"/>
      <c r="E24" s="373"/>
      <c r="F24" s="373"/>
      <c r="G24" s="373"/>
      <c r="H24" s="660"/>
      <c r="I24" s="573"/>
      <c r="J24" s="373"/>
      <c r="K24" s="373"/>
      <c r="L24" s="373"/>
      <c r="M24" s="373"/>
      <c r="N24" s="373"/>
    </row>
    <row r="25" spans="2:14" ht="14.25" x14ac:dyDescent="0.2">
      <c r="B25" s="315" t="s">
        <v>398</v>
      </c>
      <c r="C25" s="315"/>
      <c r="D25" s="315"/>
      <c r="E25" s="375">
        <f>-'Income Statement'!C33/1000</f>
        <v>28.975999999999999</v>
      </c>
      <c r="F25" s="375">
        <f>-'Income Statement'!D33/1000</f>
        <v>-0.5</v>
      </c>
      <c r="G25" s="375">
        <f>-'Income Statement'!E33/1000</f>
        <v>-1.4359999999999999</v>
      </c>
      <c r="H25" s="604">
        <f>-'Income Statement'!F33/1000</f>
        <v>-2.403</v>
      </c>
      <c r="I25" s="674">
        <f ca="1">-'Income Statement'!G33/1000</f>
        <v>-4.1379228120129321</v>
      </c>
      <c r="J25" s="375">
        <f ca="1">-'Income Statement'!H33/1000</f>
        <v>-2.8540101533865725</v>
      </c>
      <c r="K25" s="375">
        <f ca="1">-'Income Statement'!J33/1000</f>
        <v>-9.053596293439826</v>
      </c>
      <c r="L25" s="375">
        <f ca="1">-'Income Statement'!K33/1000</f>
        <v>-12.053995642239792</v>
      </c>
      <c r="M25" s="375">
        <f ca="1">-'Income Statement'!L33/1000</f>
        <v>-15.573497263231863</v>
      </c>
      <c r="N25" s="375">
        <f ca="1">-'Income Statement'!M33/1000</f>
        <v>-19.133689003019924</v>
      </c>
    </row>
    <row r="26" spans="2:14" ht="14.25" x14ac:dyDescent="0.2">
      <c r="B26" s="315" t="s">
        <v>86</v>
      </c>
      <c r="C26" s="315"/>
      <c r="D26" s="315"/>
      <c r="E26" s="423">
        <f t="shared" ref="E26:N26" si="5">E23+E25</f>
        <v>24.057000000000251</v>
      </c>
      <c r="F26" s="423">
        <f t="shared" si="5"/>
        <v>5.0250000000001913</v>
      </c>
      <c r="G26" s="423">
        <f t="shared" si="5"/>
        <v>11.573000000000082</v>
      </c>
      <c r="H26" s="664">
        <f t="shared" si="5"/>
        <v>22.728000000000058</v>
      </c>
      <c r="I26" s="569">
        <f t="shared" ca="1" si="5"/>
        <v>7.6847137937382533</v>
      </c>
      <c r="J26" s="423">
        <f t="shared" ca="1" si="5"/>
        <v>5.3003045705750074</v>
      </c>
      <c r="K26" s="423">
        <f t="shared" ca="1" si="5"/>
        <v>16.813821687816578</v>
      </c>
      <c r="L26" s="423">
        <f t="shared" ca="1" si="5"/>
        <v>22.385991907016688</v>
      </c>
      <c r="M26" s="423">
        <f t="shared" ca="1" si="5"/>
        <v>28.922209203144583</v>
      </c>
      <c r="N26" s="423">
        <f t="shared" ca="1" si="5"/>
        <v>35.533993862751416</v>
      </c>
    </row>
    <row r="27" spans="2:14" ht="14.25" x14ac:dyDescent="0.2">
      <c r="B27" s="315"/>
      <c r="C27" s="315"/>
      <c r="D27" s="315"/>
      <c r="E27" s="376"/>
      <c r="F27" s="376"/>
      <c r="G27" s="376"/>
      <c r="H27" s="665"/>
      <c r="I27" s="675"/>
      <c r="J27" s="376"/>
      <c r="K27" s="315"/>
      <c r="L27" s="315"/>
      <c r="M27" s="315"/>
      <c r="N27" s="315"/>
    </row>
    <row r="28" spans="2:14" ht="14.25" x14ac:dyDescent="0.2">
      <c r="B28" s="315" t="s">
        <v>399</v>
      </c>
      <c r="C28" s="315"/>
      <c r="D28" s="315"/>
      <c r="E28" s="373">
        <f>-E19</f>
        <v>2.7989999999999999</v>
      </c>
      <c r="F28" s="373">
        <f t="shared" ref="F28:N28" si="6">-F19</f>
        <v>2.895</v>
      </c>
      <c r="G28" s="373">
        <f t="shared" si="6"/>
        <v>2.1459999999999999</v>
      </c>
      <c r="H28" s="660">
        <f t="shared" si="6"/>
        <v>3.3</v>
      </c>
      <c r="I28" s="573">
        <f ca="1">-I19</f>
        <v>1.3329317275822159</v>
      </c>
      <c r="J28" s="373">
        <f t="shared" ca="1" si="6"/>
        <v>1.8450399427051036</v>
      </c>
      <c r="K28" s="373">
        <f t="shared" ca="1" si="6"/>
        <v>3.7067465520768743</v>
      </c>
      <c r="L28" s="373">
        <f t="shared" ca="1" si="6"/>
        <v>3.7234132187435409</v>
      </c>
      <c r="M28" s="373">
        <f t="shared" ca="1" si="6"/>
        <v>3.7400798854102071</v>
      </c>
      <c r="N28" s="373">
        <f t="shared" ca="1" si="6"/>
        <v>3.7567465520768741</v>
      </c>
    </row>
    <row r="29" spans="2:14" ht="14.25" x14ac:dyDescent="0.2">
      <c r="B29" s="315" t="s">
        <v>400</v>
      </c>
      <c r="C29" s="315"/>
      <c r="D29" s="315"/>
      <c r="E29" s="377">
        <f>'Income Statement'!C32/1000</f>
        <v>-31.672000000000001</v>
      </c>
      <c r="F29" s="377">
        <f>'Income Statement'!D32/1000</f>
        <v>-0.19</v>
      </c>
      <c r="G29" s="377">
        <f>'Income Statement'!E32/1000</f>
        <v>-0.88500000000000001</v>
      </c>
      <c r="H29" s="666">
        <f>-'Income Statement'!F32/1000</f>
        <v>0</v>
      </c>
      <c r="I29" s="574">
        <f>-'Income Statement'!G32/1000</f>
        <v>-1.3625608647640239</v>
      </c>
      <c r="J29" s="377">
        <f ca="1">-'Income Statement'!H32/1000</f>
        <v>-1.8322010981519781</v>
      </c>
      <c r="K29" s="377">
        <f ca="1">-'Income Statement'!J32/1000</f>
        <v>-6.5387161234517297</v>
      </c>
      <c r="L29" s="377">
        <f ca="1">-'Income Statement'!K32/1000</f>
        <v>-4.6163306505725386</v>
      </c>
      <c r="M29" s="377">
        <f ca="1">-'Income Statement'!L32/1000</f>
        <v>-3.2415265032778788</v>
      </c>
      <c r="N29" s="377">
        <f ca="1">-'Income Statement'!M32/1000</f>
        <v>-2.261050910404081</v>
      </c>
    </row>
    <row r="30" spans="2:14" ht="14.25" x14ac:dyDescent="0.2">
      <c r="B30" s="315" t="s">
        <v>401</v>
      </c>
      <c r="C30" s="315"/>
      <c r="D30" s="315"/>
      <c r="E30" s="375">
        <f>'Cash Flow '!C27/1000</f>
        <v>-5.6120000000000001</v>
      </c>
      <c r="F30" s="375">
        <f>'Cash Flow '!D27/1000</f>
        <v>-6.2460000000000004</v>
      </c>
      <c r="G30" s="375">
        <f>'Cash Flow '!E27/1000</f>
        <v>-11.574</v>
      </c>
      <c r="H30" s="604">
        <f>'Cash Flow '!F27/1000</f>
        <v>-8</v>
      </c>
      <c r="I30" s="674">
        <f>'Cash Flow '!G27/1000</f>
        <v>0</v>
      </c>
      <c r="J30" s="375">
        <f>'Cash Flow '!H27/1000</f>
        <v>-0.25</v>
      </c>
      <c r="K30" s="375">
        <f>'Cash Flow '!J27/1000</f>
        <v>-0.5</v>
      </c>
      <c r="L30" s="375">
        <f>'Cash Flow '!K27/1000</f>
        <v>-0.5</v>
      </c>
      <c r="M30" s="375">
        <f>'Cash Flow '!L27/1000</f>
        <v>-0.5</v>
      </c>
      <c r="N30" s="375">
        <f>'Cash Flow '!M27/1000</f>
        <v>-0.5</v>
      </c>
    </row>
    <row r="31" spans="2:14" ht="14.25" x14ac:dyDescent="0.2">
      <c r="B31" s="315" t="s">
        <v>402</v>
      </c>
      <c r="C31" s="315"/>
      <c r="D31" s="315"/>
      <c r="E31" s="373">
        <f t="shared" ref="E31:N31" si="7">SUM(E26:E30)</f>
        <v>-10.42799999999975</v>
      </c>
      <c r="F31" s="373">
        <f t="shared" si="7"/>
        <v>1.4840000000001909</v>
      </c>
      <c r="G31" s="373">
        <f t="shared" si="7"/>
        <v>1.2600000000000833</v>
      </c>
      <c r="H31" s="660">
        <f t="shared" si="7"/>
        <v>18.028000000000059</v>
      </c>
      <c r="I31" s="573">
        <f t="shared" ca="1" si="7"/>
        <v>7.6550846565564452</v>
      </c>
      <c r="J31" s="373">
        <f t="shared" ca="1" si="7"/>
        <v>5.0631434151281329</v>
      </c>
      <c r="K31" s="373">
        <f t="shared" ca="1" si="7"/>
        <v>13.481852116441724</v>
      </c>
      <c r="L31" s="373">
        <f t="shared" ca="1" si="7"/>
        <v>20.99307447518769</v>
      </c>
      <c r="M31" s="373">
        <f t="shared" ca="1" si="7"/>
        <v>28.920762585276908</v>
      </c>
      <c r="N31" s="373">
        <f t="shared" ca="1" si="7"/>
        <v>36.529689504424212</v>
      </c>
    </row>
    <row r="32" spans="2:14" ht="14.25" x14ac:dyDescent="0.2">
      <c r="B32" s="315"/>
      <c r="C32" s="315"/>
      <c r="D32" s="315"/>
      <c r="E32" s="376"/>
      <c r="F32" s="376"/>
      <c r="G32" s="376"/>
      <c r="H32" s="665"/>
      <c r="I32" s="675"/>
      <c r="J32" s="376"/>
      <c r="K32" s="376"/>
      <c r="L32" s="376"/>
      <c r="M32" s="376"/>
      <c r="N32" s="376"/>
    </row>
    <row r="33" spans="2:14" ht="14.25" x14ac:dyDescent="0.2">
      <c r="B33" s="315" t="s">
        <v>403</v>
      </c>
      <c r="C33" s="315"/>
      <c r="D33" s="315"/>
      <c r="E33" s="375">
        <f>SUM('Cash Flow '!C13:C19)/1000</f>
        <v>127.07899999999999</v>
      </c>
      <c r="F33" s="375">
        <f>SUM('Cash Flow '!D13:D19)/1000</f>
        <v>-30.911000000000001</v>
      </c>
      <c r="G33" s="375">
        <f>SUM('Cash Flow '!E13:E19)/1000</f>
        <v>-22.050999999999998</v>
      </c>
      <c r="H33" s="604">
        <f>SUM('Cash Flow '!F13:F19)/1000</f>
        <v>-118.96899999999999</v>
      </c>
      <c r="I33" s="674">
        <f ca="1">SUM('Cash Flow '!G13:G19)/1000</f>
        <v>13.108113173407713</v>
      </c>
      <c r="J33" s="375">
        <f ca="1">SUM('Cash Flow '!H13:H19)/1000</f>
        <v>10.803666347473772</v>
      </c>
      <c r="K33" s="375">
        <f ca="1">SUM('Cash Flow '!J13:J19)/1000</f>
        <v>34.554746095472126</v>
      </c>
      <c r="L33" s="375">
        <f ca="1">SUM('Cash Flow '!K13:K19)/1000</f>
        <v>0.30223766201581381</v>
      </c>
      <c r="M33" s="375">
        <f ca="1">SUM('Cash Flow '!L13:L19)/1000</f>
        <v>-5.8439169826517334</v>
      </c>
      <c r="N33" s="375">
        <f ca="1">SUM('Cash Flow '!M13:M19)/1000</f>
        <v>-5.2381391369965984</v>
      </c>
    </row>
    <row r="34" spans="2:14" ht="14.25" x14ac:dyDescent="0.2">
      <c r="B34" s="315" t="s">
        <v>404</v>
      </c>
      <c r="C34" s="315"/>
      <c r="D34" s="315"/>
      <c r="E34" s="423">
        <f t="shared" ref="E34:N34" si="8">E31+E33</f>
        <v>116.65100000000024</v>
      </c>
      <c r="F34" s="423">
        <f t="shared" si="8"/>
        <v>-29.426999999999811</v>
      </c>
      <c r="G34" s="423">
        <f t="shared" si="8"/>
        <v>-20.790999999999915</v>
      </c>
      <c r="H34" s="664">
        <f t="shared" si="8"/>
        <v>-100.94099999999993</v>
      </c>
      <c r="I34" s="569">
        <f t="shared" ca="1" si="8"/>
        <v>20.763197829964156</v>
      </c>
      <c r="J34" s="423">
        <f t="shared" ca="1" si="8"/>
        <v>15.866809762601905</v>
      </c>
      <c r="K34" s="423">
        <f t="shared" ca="1" si="8"/>
        <v>48.036598211913848</v>
      </c>
      <c r="L34" s="423">
        <f t="shared" ca="1" si="8"/>
        <v>21.295312137203503</v>
      </c>
      <c r="M34" s="423">
        <f t="shared" ca="1" si="8"/>
        <v>23.076845602625173</v>
      </c>
      <c r="N34" s="423">
        <f t="shared" ca="1" si="8"/>
        <v>31.291550367427615</v>
      </c>
    </row>
    <row r="35" spans="2:14" ht="14.25" x14ac:dyDescent="0.2">
      <c r="B35" s="315"/>
      <c r="C35" s="315"/>
      <c r="D35" s="315"/>
      <c r="E35" s="378"/>
      <c r="F35" s="378"/>
      <c r="G35" s="378"/>
      <c r="H35" s="667"/>
      <c r="I35" s="570"/>
      <c r="J35" s="378"/>
      <c r="K35" s="378"/>
      <c r="L35" s="378"/>
      <c r="M35" s="378"/>
      <c r="N35" s="378"/>
    </row>
    <row r="36" spans="2:14" ht="14.25" x14ac:dyDescent="0.2">
      <c r="B36" s="315"/>
      <c r="C36" s="315"/>
      <c r="D36" s="315"/>
      <c r="E36" s="315"/>
      <c r="F36" s="315"/>
      <c r="G36" s="315"/>
      <c r="H36" s="668"/>
      <c r="I36" s="571"/>
      <c r="J36" s="315"/>
      <c r="K36" s="315"/>
      <c r="L36" s="315"/>
      <c r="M36" s="315"/>
      <c r="N36" s="315"/>
    </row>
    <row r="37" spans="2:14" ht="15" x14ac:dyDescent="0.25">
      <c r="B37" s="372" t="s">
        <v>569</v>
      </c>
      <c r="C37" s="315"/>
      <c r="D37" s="315"/>
      <c r="E37" s="315"/>
      <c r="F37" s="315"/>
      <c r="G37" s="315"/>
      <c r="H37" s="668"/>
      <c r="I37" s="571"/>
      <c r="J37" s="315"/>
      <c r="K37" s="315"/>
      <c r="L37" s="315"/>
      <c r="M37" s="315"/>
      <c r="N37" s="315"/>
    </row>
    <row r="38" spans="2:14" ht="15" x14ac:dyDescent="0.25">
      <c r="B38" s="372"/>
      <c r="C38" s="315"/>
      <c r="D38" s="315"/>
      <c r="E38" s="315"/>
      <c r="F38" s="315"/>
      <c r="G38" s="315"/>
      <c r="H38" s="668"/>
      <c r="I38" s="572" t="s">
        <v>603</v>
      </c>
      <c r="J38" s="477" t="s">
        <v>599</v>
      </c>
      <c r="K38" s="315"/>
      <c r="L38" s="315"/>
      <c r="M38" s="315"/>
      <c r="N38" s="315"/>
    </row>
    <row r="39" spans="2:14" ht="15" x14ac:dyDescent="0.25">
      <c r="B39" s="372" t="s">
        <v>405</v>
      </c>
      <c r="C39" s="372"/>
      <c r="D39" s="372"/>
      <c r="E39" s="579">
        <v>1997</v>
      </c>
      <c r="F39" s="580">
        <v>1998</v>
      </c>
      <c r="G39" s="580">
        <v>1999</v>
      </c>
      <c r="H39" s="580">
        <v>2000</v>
      </c>
      <c r="I39" s="582">
        <v>2001</v>
      </c>
      <c r="J39" s="580">
        <v>2001</v>
      </c>
      <c r="K39" s="580">
        <v>2002</v>
      </c>
      <c r="L39" s="580">
        <v>2003</v>
      </c>
      <c r="M39" s="580">
        <v>2004</v>
      </c>
      <c r="N39" s="581">
        <v>2005</v>
      </c>
    </row>
    <row r="40" spans="2:14" ht="14.25" x14ac:dyDescent="0.2">
      <c r="B40" s="315" t="s">
        <v>2</v>
      </c>
      <c r="C40" s="315"/>
      <c r="D40" s="315"/>
      <c r="E40" s="373">
        <f>('Balance Sheet'!C10+'Balance Sheet'!C11+'Balance Sheet'!C12)/1000</f>
        <v>66.492000000000004</v>
      </c>
      <c r="F40" s="373">
        <f>('Balance Sheet'!D10+'Balance Sheet'!D11+'Balance Sheet'!D12)/1000</f>
        <v>70.379000000000005</v>
      </c>
      <c r="G40" s="373">
        <f>('Balance Sheet'!E10+'Balance Sheet'!E11+'Balance Sheet'!E12)/1000</f>
        <v>48.13</v>
      </c>
      <c r="H40" s="660">
        <f>('Balance Sheet'!F10+'Balance Sheet'!F11+'Balance Sheet'!F12)/1000</f>
        <v>26.696999999999999</v>
      </c>
      <c r="I40" s="573">
        <f ca="1">('Balance Sheet'!I10+'Balance Sheet'!I11+'Balance Sheet'!I12)/1000</f>
        <v>37.95531955949226</v>
      </c>
      <c r="J40" s="373">
        <f ca="1">('Balance Sheet'!J10+'Balance Sheet'!J11+'Balance Sheet'!J12)/1000</f>
        <v>1.0000000038417056E-6</v>
      </c>
      <c r="K40" s="373">
        <f ca="1">('Balance Sheet'!K10+'Balance Sheet'!K11+'Balance Sheet'!K12)/1000</f>
        <v>10</v>
      </c>
      <c r="L40" s="373">
        <f ca="1">('Balance Sheet'!L10+'Balance Sheet'!L11+'Balance Sheet'!L12)/1000</f>
        <v>10</v>
      </c>
      <c r="M40" s="373">
        <f ca="1">('Balance Sheet'!M10+'Balance Sheet'!M11+'Balance Sheet'!M12)/1000</f>
        <v>10</v>
      </c>
      <c r="N40" s="373">
        <f ca="1">('Balance Sheet'!N10+'Balance Sheet'!N11+'Balance Sheet'!N12)/1000</f>
        <v>10</v>
      </c>
    </row>
    <row r="41" spans="2:14" ht="14.25" x14ac:dyDescent="0.2">
      <c r="B41" s="315" t="s">
        <v>406</v>
      </c>
      <c r="C41" s="315"/>
      <c r="D41" s="315"/>
      <c r="E41" s="377">
        <f>'Balance Sheet'!C13/1000</f>
        <v>180.143</v>
      </c>
      <c r="F41" s="377">
        <f>'Balance Sheet'!D13/1000</f>
        <v>147.53100000000001</v>
      </c>
      <c r="G41" s="377">
        <f>'Balance Sheet'!E13/1000</f>
        <v>183.32300000000001</v>
      </c>
      <c r="H41" s="666">
        <f>'Balance Sheet'!F13/1000</f>
        <v>371.47699999999998</v>
      </c>
      <c r="I41" s="574">
        <f ca="1">'Balance Sheet'!I13/1000</f>
        <v>382.67060364232339</v>
      </c>
      <c r="J41" s="377">
        <f ca="1">'Balance Sheet'!J13/1000</f>
        <v>367.0568510551775</v>
      </c>
      <c r="K41" s="377">
        <f ca="1">'Balance Sheet'!K13/1000</f>
        <v>342.4249461326325</v>
      </c>
      <c r="L41" s="377">
        <f ca="1">'Balance Sheet'!L13/1000</f>
        <v>351.44929316489362</v>
      </c>
      <c r="M41" s="377">
        <f ca="1">'Balance Sheet'!M13/1000</f>
        <v>364.94623268254736</v>
      </c>
      <c r="N41" s="377">
        <f ca="1">'Balance Sheet'!N13/1000</f>
        <v>378.39388053197706</v>
      </c>
    </row>
    <row r="42" spans="2:14" ht="14.25" x14ac:dyDescent="0.2">
      <c r="B42" s="315" t="s">
        <v>407</v>
      </c>
      <c r="C42" s="315"/>
      <c r="D42" s="315"/>
      <c r="E42" s="375">
        <f>'Balance Sheet'!C15/1000</f>
        <v>2.3069999999999999</v>
      </c>
      <c r="F42" s="375">
        <f>'Balance Sheet'!D15/1000</f>
        <v>1.1299999999999999</v>
      </c>
      <c r="G42" s="375">
        <f>'Balance Sheet'!E15/1000</f>
        <v>1.177</v>
      </c>
      <c r="H42" s="604">
        <f>'Balance Sheet'!F15/1000</f>
        <v>3.2770000000000001</v>
      </c>
      <c r="I42" s="674">
        <f>'Balance Sheet'!I15/1000</f>
        <v>3.2770000000000001</v>
      </c>
      <c r="J42" s="375">
        <f>'Balance Sheet'!J15/1000</f>
        <v>3.2770000000000001</v>
      </c>
      <c r="K42" s="375">
        <f>'Balance Sheet'!K15/1000</f>
        <v>3.2770000000000001</v>
      </c>
      <c r="L42" s="375">
        <f>'Balance Sheet'!L15/1000</f>
        <v>3.2770000000000001</v>
      </c>
      <c r="M42" s="375">
        <f>'Balance Sheet'!M15/1000</f>
        <v>3.2770000000000001</v>
      </c>
      <c r="N42" s="375">
        <f>'Balance Sheet'!N15/1000</f>
        <v>3.2770000000000001</v>
      </c>
    </row>
    <row r="43" spans="2:14" ht="14.25" x14ac:dyDescent="0.2">
      <c r="B43" s="315" t="s">
        <v>408</v>
      </c>
      <c r="C43" s="315"/>
      <c r="D43" s="315"/>
      <c r="E43" s="373">
        <f t="shared" ref="E43:N43" si="9">SUM(E40:E42)</f>
        <v>248.94199999999998</v>
      </c>
      <c r="F43" s="373">
        <f t="shared" si="9"/>
        <v>219.04000000000002</v>
      </c>
      <c r="G43" s="373">
        <f t="shared" si="9"/>
        <v>232.63</v>
      </c>
      <c r="H43" s="660">
        <f t="shared" si="9"/>
        <v>401.45099999999996</v>
      </c>
      <c r="I43" s="573">
        <f t="shared" ca="1" si="9"/>
        <v>423.90292320181561</v>
      </c>
      <c r="J43" s="373">
        <f t="shared" ca="1" si="9"/>
        <v>370.33385205517749</v>
      </c>
      <c r="K43" s="373">
        <f t="shared" ca="1" si="9"/>
        <v>355.70194613263249</v>
      </c>
      <c r="L43" s="373">
        <f t="shared" ca="1" si="9"/>
        <v>364.7262931648936</v>
      </c>
      <c r="M43" s="373">
        <f t="shared" ca="1" si="9"/>
        <v>378.22323268254735</v>
      </c>
      <c r="N43" s="373">
        <f t="shared" ca="1" si="9"/>
        <v>391.67088053197705</v>
      </c>
    </row>
    <row r="44" spans="2:14" ht="14.25" x14ac:dyDescent="0.2">
      <c r="B44" s="315"/>
      <c r="C44" s="315"/>
      <c r="D44" s="315"/>
      <c r="E44" s="379"/>
      <c r="F44" s="379"/>
      <c r="G44" s="379"/>
      <c r="H44" s="669"/>
      <c r="I44" s="676"/>
      <c r="J44" s="379"/>
      <c r="K44" s="379"/>
      <c r="L44" s="379"/>
      <c r="M44" s="379"/>
      <c r="N44" s="379"/>
    </row>
    <row r="45" spans="2:14" ht="14.25" x14ac:dyDescent="0.2">
      <c r="B45" s="315" t="s">
        <v>6</v>
      </c>
      <c r="C45" s="315"/>
      <c r="D45" s="315"/>
      <c r="E45" s="373">
        <f>'Balance Sheet'!C14/1000</f>
        <v>57.009</v>
      </c>
      <c r="F45" s="373">
        <f>'Balance Sheet'!D14/1000</f>
        <v>51.344000000000001</v>
      </c>
      <c r="G45" s="373">
        <f>'Balance Sheet'!E14/1000</f>
        <v>52.807000000000002</v>
      </c>
      <c r="H45" s="660">
        <f>'Balance Sheet'!F14/1000</f>
        <v>156.40799999999999</v>
      </c>
      <c r="I45" s="573">
        <f ca="1">'Balance Sheet'!I14/1000</f>
        <v>147.02455603216157</v>
      </c>
      <c r="J45" s="373">
        <f ca="1">'Balance Sheet'!J14/1000</f>
        <v>143.360618395996</v>
      </c>
      <c r="K45" s="373">
        <f ca="1">'Balance Sheet'!K14/1000</f>
        <v>148.14663700523116</v>
      </c>
      <c r="L45" s="373">
        <f ca="1">'Balance Sheet'!L14/1000</f>
        <v>145.97236727517034</v>
      </c>
      <c r="M45" s="373">
        <f ca="1">'Balance Sheet'!M14/1000</f>
        <v>150.83870122248527</v>
      </c>
      <c r="N45" s="373">
        <f ca="1">'Balance Sheet'!N14/1000</f>
        <v>154.87835165296946</v>
      </c>
    </row>
    <row r="46" spans="2:14" ht="14.25" x14ac:dyDescent="0.2">
      <c r="B46" s="315" t="s">
        <v>385</v>
      </c>
      <c r="C46" s="315"/>
      <c r="D46" s="315"/>
      <c r="E46" s="377">
        <f>'Balance Sheet'!C20/1000</f>
        <v>15.619</v>
      </c>
      <c r="F46" s="377">
        <f>'Balance Sheet'!D20/1000</f>
        <v>14.195</v>
      </c>
      <c r="G46" s="377">
        <f>'Balance Sheet'!E20/1000</f>
        <v>24.41</v>
      </c>
      <c r="H46" s="666">
        <f>'Balance Sheet'!F20/1000</f>
        <v>32.256999999999998</v>
      </c>
      <c r="I46" s="574">
        <f ca="1">'Balance Sheet'!I20/1000</f>
        <v>79.725903654932964</v>
      </c>
      <c r="J46" s="377">
        <f ca="1">'Balance Sheet'!J20/1000</f>
        <v>78.642971927350757</v>
      </c>
      <c r="K46" s="377">
        <f ca="1">'Balance Sheet'!K20/1000</f>
        <v>76.460441805519665</v>
      </c>
      <c r="L46" s="377">
        <f ca="1">'Balance Sheet'!L20/1000</f>
        <v>74.261245017021892</v>
      </c>
      <c r="M46" s="377">
        <f ca="1">'Balance Sheet'!M20/1000</f>
        <v>72.045381561857468</v>
      </c>
      <c r="N46" s="377">
        <f ca="1">'Balance Sheet'!N20/1000</f>
        <v>69.812851440026378</v>
      </c>
    </row>
    <row r="47" spans="2:14" ht="14.25" x14ac:dyDescent="0.2">
      <c r="B47" s="315" t="s">
        <v>409</v>
      </c>
      <c r="C47" s="315"/>
      <c r="D47" s="315"/>
      <c r="E47" s="375">
        <f>'Balance Sheet'!C18/1000</f>
        <v>12.448</v>
      </c>
      <c r="F47" s="375">
        <f>'Balance Sheet'!D18/1000</f>
        <v>17.222999999999999</v>
      </c>
      <c r="G47" s="375">
        <f>'Balance Sheet'!E18/1000</f>
        <v>16.436</v>
      </c>
      <c r="H47" s="604">
        <f>'Balance Sheet'!F18/1000</f>
        <v>0.86499999999999999</v>
      </c>
      <c r="I47" s="674">
        <f ca="1">'Balance Sheet'!I18/1000</f>
        <v>41.83365720983101</v>
      </c>
      <c r="J47" s="375">
        <f ca="1">'Balance Sheet'!J18/1000</f>
        <v>41.321548994708124</v>
      </c>
      <c r="K47" s="375">
        <f ca="1">'Balance Sheet'!K18/1000</f>
        <v>40.297332564462344</v>
      </c>
      <c r="L47" s="375">
        <f ca="1">'Balance Sheet'!L18/1000</f>
        <v>39.273116134216572</v>
      </c>
      <c r="M47" s="375">
        <f ca="1">'Balance Sheet'!M18/1000</f>
        <v>38.2488997039708</v>
      </c>
      <c r="N47" s="375">
        <f ca="1">'Balance Sheet'!N18/1000</f>
        <v>37.22468327372502</v>
      </c>
    </row>
    <row r="48" spans="2:14" ht="14.25" x14ac:dyDescent="0.2">
      <c r="B48" s="315" t="s">
        <v>120</v>
      </c>
      <c r="C48" s="315"/>
      <c r="D48" s="315"/>
      <c r="E48" s="423">
        <f t="shared" ref="E48:N48" si="10">SUM(E43:E47)</f>
        <v>334.01799999999992</v>
      </c>
      <c r="F48" s="423">
        <f t="shared" si="10"/>
        <v>301.80200000000002</v>
      </c>
      <c r="G48" s="423">
        <f t="shared" si="10"/>
        <v>326.28300000000002</v>
      </c>
      <c r="H48" s="664">
        <f t="shared" si="10"/>
        <v>590.98099999999988</v>
      </c>
      <c r="I48" s="569">
        <f t="shared" ca="1" si="10"/>
        <v>692.4870400987412</v>
      </c>
      <c r="J48" s="423">
        <f t="shared" ca="1" si="10"/>
        <v>633.65899137323242</v>
      </c>
      <c r="K48" s="423">
        <f t="shared" ca="1" si="10"/>
        <v>620.60635750784559</v>
      </c>
      <c r="L48" s="423">
        <f t="shared" ca="1" si="10"/>
        <v>624.23302159130242</v>
      </c>
      <c r="M48" s="423">
        <f t="shared" ca="1" si="10"/>
        <v>639.35621517086088</v>
      </c>
      <c r="N48" s="423">
        <f t="shared" ca="1" si="10"/>
        <v>653.58676689869799</v>
      </c>
    </row>
    <row r="49" spans="2:14" ht="14.25" x14ac:dyDescent="0.2">
      <c r="B49" s="315"/>
      <c r="C49" s="315"/>
      <c r="D49" s="315"/>
      <c r="E49" s="315"/>
      <c r="F49" s="315"/>
      <c r="G49" s="315"/>
      <c r="H49" s="668"/>
      <c r="I49" s="571"/>
      <c r="J49" s="315"/>
      <c r="K49" s="315"/>
      <c r="L49" s="315"/>
      <c r="M49" s="315"/>
      <c r="N49" s="315"/>
    </row>
    <row r="50" spans="2:14" ht="15" x14ac:dyDescent="0.25">
      <c r="B50" s="372" t="s">
        <v>410</v>
      </c>
      <c r="C50" s="372"/>
      <c r="D50" s="372"/>
      <c r="E50" s="372"/>
      <c r="F50" s="372"/>
      <c r="G50" s="372"/>
      <c r="H50" s="670"/>
      <c r="I50" s="677"/>
      <c r="J50" s="372"/>
      <c r="K50" s="372"/>
      <c r="L50" s="372"/>
      <c r="M50" s="372"/>
      <c r="N50" s="372"/>
    </row>
    <row r="51" spans="2:14" ht="14.25" x14ac:dyDescent="0.2">
      <c r="B51" s="315" t="s">
        <v>411</v>
      </c>
      <c r="C51" s="315"/>
      <c r="D51" s="315"/>
      <c r="E51" s="373">
        <f>'Balance Sheet'!C27/1000</f>
        <v>48.9</v>
      </c>
      <c r="F51" s="373">
        <f>'Balance Sheet'!D27/1000</f>
        <v>30.8</v>
      </c>
      <c r="G51" s="373">
        <f>'Balance Sheet'!E27/1000</f>
        <v>53.5</v>
      </c>
      <c r="H51" s="660">
        <f>'Balance Sheet'!F27/1000</f>
        <v>100.4</v>
      </c>
      <c r="I51" s="573">
        <f>'Balance Sheet'!I27/1000</f>
        <v>100.4</v>
      </c>
      <c r="J51" s="373">
        <f>'Balance Sheet'!J27/1000</f>
        <v>100.4</v>
      </c>
      <c r="K51" s="373">
        <f>'Balance Sheet'!K27/1000</f>
        <v>100.4</v>
      </c>
      <c r="L51" s="373">
        <f>'Balance Sheet'!L27/1000</f>
        <v>100.4</v>
      </c>
      <c r="M51" s="373">
        <f>'Balance Sheet'!M27/1000</f>
        <v>100.4</v>
      </c>
      <c r="N51" s="373">
        <f>'Balance Sheet'!N27/1000</f>
        <v>100.4</v>
      </c>
    </row>
    <row r="52" spans="2:14" ht="14.25" x14ac:dyDescent="0.2">
      <c r="B52" s="315" t="s">
        <v>16</v>
      </c>
      <c r="C52" s="315"/>
      <c r="D52" s="315"/>
      <c r="E52" s="377">
        <f>'Balance Sheet'!C28/1000</f>
        <v>142.28700000000001</v>
      </c>
      <c r="F52" s="377">
        <f>'Balance Sheet'!D28/1000</f>
        <v>87.879000000000005</v>
      </c>
      <c r="G52" s="377">
        <f>'Balance Sheet'!E28/1000</f>
        <v>79.861000000000004</v>
      </c>
      <c r="H52" s="666">
        <f>'Balance Sheet'!F28/1000</f>
        <v>234.85599999999999</v>
      </c>
      <c r="I52" s="574">
        <f ca="1">'Balance Sheet'!I28/1000</f>
        <v>235.49635003587977</v>
      </c>
      <c r="J52" s="377">
        <f ca="1">'Balance Sheet'!J28/1000</f>
        <v>228.30623881866842</v>
      </c>
      <c r="K52" s="377">
        <f ca="1">'Balance Sheet'!K28/1000</f>
        <v>236.81551246077746</v>
      </c>
      <c r="L52" s="377">
        <f ca="1">'Balance Sheet'!L28/1000</f>
        <v>240.96742807619361</v>
      </c>
      <c r="M52" s="377">
        <f ca="1">'Balance Sheet'!M28/1000</f>
        <v>249.96728293751846</v>
      </c>
      <c r="N52" s="377">
        <f ca="1">'Balance Sheet'!N28/1000</f>
        <v>258.65625034064766</v>
      </c>
    </row>
    <row r="53" spans="2:14" ht="14.25" x14ac:dyDescent="0.2">
      <c r="B53" s="315" t="s">
        <v>17</v>
      </c>
      <c r="C53" s="315"/>
      <c r="D53" s="315"/>
      <c r="E53" s="377">
        <f>'Balance Sheet'!C29/1000</f>
        <v>20.422000000000001</v>
      </c>
      <c r="F53" s="377">
        <f>'Balance Sheet'!D29/1000</f>
        <v>16.167999999999999</v>
      </c>
      <c r="G53" s="377">
        <f>'Balance Sheet'!E29/1000</f>
        <v>24.533999999999999</v>
      </c>
      <c r="H53" s="666">
        <f>'Balance Sheet'!F29/1000</f>
        <v>43.598999999999997</v>
      </c>
      <c r="I53" s="574">
        <f>'Balance Sheet'!I29/1000</f>
        <v>43.598999999999997</v>
      </c>
      <c r="J53" s="377">
        <f>'Balance Sheet'!J29/1000</f>
        <v>43.598999999999997</v>
      </c>
      <c r="K53" s="377">
        <f>'Balance Sheet'!K29/1000</f>
        <v>43.598999999999997</v>
      </c>
      <c r="L53" s="377">
        <f>'Balance Sheet'!L29/1000</f>
        <v>43.598999999999997</v>
      </c>
      <c r="M53" s="377">
        <f>'Balance Sheet'!M29/1000</f>
        <v>43.598999999999997</v>
      </c>
      <c r="N53" s="377">
        <f>'Balance Sheet'!N29/1000</f>
        <v>43.598999999999997</v>
      </c>
    </row>
    <row r="54" spans="2:14" ht="14.25" x14ac:dyDescent="0.2">
      <c r="B54" s="315" t="s">
        <v>412</v>
      </c>
      <c r="C54" s="315"/>
      <c r="D54" s="315"/>
      <c r="E54" s="375">
        <f>'Balance Sheet'!C30/1000</f>
        <v>0.29399999999999998</v>
      </c>
      <c r="F54" s="375">
        <f>'Balance Sheet'!D30/1000</f>
        <v>0.33600000000000002</v>
      </c>
      <c r="G54" s="375">
        <f>'Balance Sheet'!E30/1000</f>
        <v>1.151</v>
      </c>
      <c r="H54" s="604">
        <f>'Balance Sheet'!F30/1000</f>
        <v>2.09</v>
      </c>
      <c r="I54" s="674">
        <f ca="1">'Balance Sheet'!I30/1000</f>
        <v>4.1379228120129321</v>
      </c>
      <c r="J54" s="375">
        <f ca="1">'Balance Sheet'!J30/1000</f>
        <v>2.8540101533865725</v>
      </c>
      <c r="K54" s="375">
        <f ca="1">'Balance Sheet'!K30/1000</f>
        <v>9.053596293439826</v>
      </c>
      <c r="L54" s="375">
        <f ca="1">'Balance Sheet'!L30/1000</f>
        <v>12.053995642239792</v>
      </c>
      <c r="M54" s="375">
        <f ca="1">'Balance Sheet'!M30/1000</f>
        <v>15.573497263231863</v>
      </c>
      <c r="N54" s="375">
        <f ca="1">'Balance Sheet'!N30/1000</f>
        <v>19.133689003019924</v>
      </c>
    </row>
    <row r="55" spans="2:14" ht="14.25" x14ac:dyDescent="0.2">
      <c r="B55" s="315" t="s">
        <v>413</v>
      </c>
      <c r="C55" s="315"/>
      <c r="D55" s="315"/>
      <c r="E55" s="373">
        <f t="shared" ref="E55:N55" si="11">SUM(E51:E54)</f>
        <v>211.90300000000002</v>
      </c>
      <c r="F55" s="373">
        <f t="shared" si="11"/>
        <v>135.18300000000002</v>
      </c>
      <c r="G55" s="373">
        <f t="shared" si="11"/>
        <v>159.04599999999999</v>
      </c>
      <c r="H55" s="660">
        <f t="shared" si="11"/>
        <v>380.94499999999994</v>
      </c>
      <c r="I55" s="573">
        <f t="shared" ca="1" si="11"/>
        <v>383.63327284789273</v>
      </c>
      <c r="J55" s="373">
        <f t="shared" ca="1" si="11"/>
        <v>375.15924897205502</v>
      </c>
      <c r="K55" s="373">
        <f t="shared" ca="1" si="11"/>
        <v>389.8681087542173</v>
      </c>
      <c r="L55" s="373">
        <f t="shared" ca="1" si="11"/>
        <v>397.02042371843339</v>
      </c>
      <c r="M55" s="373">
        <f t="shared" ca="1" si="11"/>
        <v>409.53978020075027</v>
      </c>
      <c r="N55" s="373">
        <f t="shared" ca="1" si="11"/>
        <v>421.78893934366761</v>
      </c>
    </row>
    <row r="56" spans="2:14" ht="14.25" x14ac:dyDescent="0.2">
      <c r="B56" s="315"/>
      <c r="C56" s="315"/>
      <c r="D56" s="315"/>
      <c r="E56" s="380"/>
      <c r="F56" s="380"/>
      <c r="G56" s="380"/>
      <c r="H56" s="671"/>
      <c r="I56" s="678"/>
      <c r="J56" s="380"/>
      <c r="K56" s="380"/>
      <c r="L56" s="380"/>
      <c r="M56" s="380"/>
      <c r="N56" s="380"/>
    </row>
    <row r="57" spans="2:14" ht="14.25" x14ac:dyDescent="0.2">
      <c r="B57" s="315" t="s">
        <v>414</v>
      </c>
      <c r="C57" s="315"/>
      <c r="D57" s="315"/>
      <c r="E57" s="377">
        <f>'Balance Sheet'!C33/1000</f>
        <v>0</v>
      </c>
      <c r="F57" s="377">
        <f>'Balance Sheet'!D33/1000</f>
        <v>50</v>
      </c>
      <c r="G57" s="377">
        <f>'Balance Sheet'!E33/1000</f>
        <v>50</v>
      </c>
      <c r="H57" s="666">
        <f>'Balance Sheet'!F33/1000</f>
        <v>80</v>
      </c>
      <c r="I57" s="574">
        <f>'Balance Sheet'!I33/1000</f>
        <v>80</v>
      </c>
      <c r="J57" s="377">
        <f>'Balance Sheet'!J33/1000</f>
        <v>80</v>
      </c>
      <c r="K57" s="377">
        <f>'Balance Sheet'!K33/1000</f>
        <v>80</v>
      </c>
      <c r="L57" s="377">
        <f>'Balance Sheet'!L33/1000</f>
        <v>80</v>
      </c>
      <c r="M57" s="377">
        <f>'Balance Sheet'!M33/1000</f>
        <v>80</v>
      </c>
      <c r="N57" s="377">
        <f>'Balance Sheet'!N33/1000</f>
        <v>80</v>
      </c>
    </row>
    <row r="58" spans="2:14" ht="14.25" x14ac:dyDescent="0.2">
      <c r="B58" s="315" t="s">
        <v>415</v>
      </c>
      <c r="C58" s="315"/>
      <c r="D58" s="315"/>
      <c r="E58" s="375">
        <f>'Balance Sheet'!C35/1000</f>
        <v>8.516</v>
      </c>
      <c r="F58" s="375">
        <f>'Balance Sheet'!D35/1000</f>
        <v>7.9950000000000001</v>
      </c>
      <c r="G58" s="375">
        <f>'Balance Sheet'!E35/1000</f>
        <v>7.04</v>
      </c>
      <c r="H58" s="604">
        <f>'Balance Sheet'!F35/1000</f>
        <v>7.1109999999999998</v>
      </c>
      <c r="I58" s="674">
        <f>'Balance Sheet'!I35/1000</f>
        <v>8.473560864764023</v>
      </c>
      <c r="J58" s="375">
        <f ca="1">'Balance Sheet'!J35/1000</f>
        <v>10.305761962916002</v>
      </c>
      <c r="K58" s="375">
        <f ca="1">'Balance Sheet'!K35/1000</f>
        <v>16.844478086367729</v>
      </c>
      <c r="L58" s="375">
        <f ca="1">'Balance Sheet'!L35/1000</f>
        <v>21.460808736940269</v>
      </c>
      <c r="M58" s="375">
        <f ca="1">'Balance Sheet'!M35/1000</f>
        <v>24.702335240218147</v>
      </c>
      <c r="N58" s="375">
        <f ca="1">'Balance Sheet'!N35/1000</f>
        <v>26.963386150622231</v>
      </c>
    </row>
    <row r="59" spans="2:14" ht="14.25" x14ac:dyDescent="0.2">
      <c r="B59" s="315" t="s">
        <v>416</v>
      </c>
      <c r="C59" s="315"/>
      <c r="D59" s="315"/>
      <c r="E59" s="373">
        <f t="shared" ref="E59:N59" si="12">SUM(E55:E58)</f>
        <v>220.41900000000001</v>
      </c>
      <c r="F59" s="373">
        <f t="shared" si="12"/>
        <v>193.17800000000003</v>
      </c>
      <c r="G59" s="373">
        <f t="shared" si="12"/>
        <v>216.08599999999998</v>
      </c>
      <c r="H59" s="660">
        <f t="shared" si="12"/>
        <v>468.05599999999993</v>
      </c>
      <c r="I59" s="573">
        <f t="shared" ca="1" si="12"/>
        <v>472.10683371265674</v>
      </c>
      <c r="J59" s="373">
        <f t="shared" ca="1" si="12"/>
        <v>465.46501093497102</v>
      </c>
      <c r="K59" s="373">
        <f t="shared" ca="1" si="12"/>
        <v>486.712586840585</v>
      </c>
      <c r="L59" s="373">
        <f t="shared" ca="1" si="12"/>
        <v>498.48123245537369</v>
      </c>
      <c r="M59" s="373">
        <f t="shared" ca="1" si="12"/>
        <v>514.2421154409684</v>
      </c>
      <c r="N59" s="373">
        <f t="shared" ca="1" si="12"/>
        <v>528.75232549428983</v>
      </c>
    </row>
    <row r="60" spans="2:14" ht="14.25" x14ac:dyDescent="0.2">
      <c r="B60" s="315"/>
      <c r="C60" s="315"/>
      <c r="D60" s="315"/>
      <c r="E60" s="380"/>
      <c r="F60" s="380"/>
      <c r="G60" s="380"/>
      <c r="H60" s="671"/>
      <c r="I60" s="678"/>
      <c r="J60" s="380"/>
      <c r="K60" s="380"/>
      <c r="L60" s="380"/>
      <c r="M60" s="380"/>
      <c r="N60" s="380"/>
    </row>
    <row r="61" spans="2:14" ht="14.25" x14ac:dyDescent="0.2">
      <c r="B61" s="315" t="s">
        <v>417</v>
      </c>
      <c r="C61" s="315"/>
      <c r="D61" s="315"/>
      <c r="E61" s="375">
        <f>'Balance Sheet'!C37/1000</f>
        <v>113.599</v>
      </c>
      <c r="F61" s="375">
        <f>'Balance Sheet'!D37/1000</f>
        <v>108.624</v>
      </c>
      <c r="G61" s="375">
        <f>'Balance Sheet'!E37/1000</f>
        <v>110.197</v>
      </c>
      <c r="H61" s="604">
        <f>'Balance Sheet'!F37/1000</f>
        <v>122.925</v>
      </c>
      <c r="I61" s="674">
        <f ca="1">'Balance Sheet'!I37/1000</f>
        <v>220.3802063860845</v>
      </c>
      <c r="J61" s="375">
        <f ca="1">'Balance Sheet'!J37/1000</f>
        <v>168.19398043826138</v>
      </c>
      <c r="K61" s="375">
        <f ca="1">'Balance Sheet'!K37/1000</f>
        <v>133.89377066726064</v>
      </c>
      <c r="L61" s="375">
        <f ca="1">'Balance Sheet'!L37/1000</f>
        <v>125.75178913592873</v>
      </c>
      <c r="M61" s="375">
        <f ca="1">'Balance Sheet'!M37/1000</f>
        <v>125.11409972989236</v>
      </c>
      <c r="N61" s="375">
        <f ca="1">'Balance Sheet'!N37/1000</f>
        <v>124.83444140440801</v>
      </c>
    </row>
    <row r="62" spans="2:14" ht="14.25" x14ac:dyDescent="0.2">
      <c r="B62" s="315" t="s">
        <v>418</v>
      </c>
      <c r="C62" s="315"/>
      <c r="D62" s="315"/>
      <c r="E62" s="423">
        <f t="shared" ref="E62:N62" si="13">E59+E61</f>
        <v>334.01800000000003</v>
      </c>
      <c r="F62" s="423">
        <f t="shared" si="13"/>
        <v>301.80200000000002</v>
      </c>
      <c r="G62" s="423">
        <f t="shared" si="13"/>
        <v>326.28300000000002</v>
      </c>
      <c r="H62" s="664">
        <f t="shared" si="13"/>
        <v>590.98099999999988</v>
      </c>
      <c r="I62" s="569">
        <f t="shared" ca="1" si="13"/>
        <v>692.4870400987412</v>
      </c>
      <c r="J62" s="423">
        <f t="shared" ca="1" si="13"/>
        <v>633.65899137323242</v>
      </c>
      <c r="K62" s="423">
        <f t="shared" ca="1" si="13"/>
        <v>620.60635750784559</v>
      </c>
      <c r="L62" s="423">
        <f t="shared" ca="1" si="13"/>
        <v>624.23302159130242</v>
      </c>
      <c r="M62" s="423">
        <f t="shared" ca="1" si="13"/>
        <v>639.35621517086076</v>
      </c>
      <c r="N62" s="423">
        <f t="shared" ca="1" si="13"/>
        <v>653.58676689869787</v>
      </c>
    </row>
  </sheetData>
  <printOptions horizontalCentered="1"/>
  <pageMargins left="0.75" right="0.75" top="0.53" bottom="1" header="0.5" footer="0.5"/>
  <pageSetup scale="54" orientation="landscape" verticalDpi="200" r:id="rId1"/>
  <headerFooter alignWithMargins="0">
    <oddFooter>&amp;L&amp;7&amp;D &amp;T&amp;C&amp;8&amp;P&amp;R&amp;7o:/Corpdev/North America/Raul/Ammonia/&amp;F</oddFooter>
  </headerFooter>
  <rowBreaks count="1" manualBreakCount="1">
    <brk id="62" max="16383" man="1"/>
  </rowBreaks>
  <colBreaks count="1" manualBreakCount="1">
    <brk id="22" max="1048575"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0"/>
  <sheetViews>
    <sheetView workbookViewId="0">
      <selection activeCell="A30" sqref="A30"/>
    </sheetView>
  </sheetViews>
  <sheetFormatPr defaultRowHeight="12.75" x14ac:dyDescent="0.2"/>
  <sheetData>
    <row r="1" spans="1:12" ht="21" thickBot="1" x14ac:dyDescent="0.35">
      <c r="A1" s="365" t="s">
        <v>518</v>
      </c>
      <c r="B1" s="366"/>
      <c r="C1" s="366"/>
      <c r="D1" s="367"/>
      <c r="E1" s="367"/>
      <c r="F1" s="367"/>
      <c r="G1" s="367"/>
      <c r="H1" s="360"/>
      <c r="I1" s="367"/>
      <c r="J1" s="360"/>
      <c r="K1" s="360"/>
      <c r="L1" s="774" t="s">
        <v>565</v>
      </c>
    </row>
    <row r="8" spans="1:12" ht="15.75" x14ac:dyDescent="0.25">
      <c r="B8" s="303" t="s">
        <v>516</v>
      </c>
      <c r="H8" s="303" t="s">
        <v>517</v>
      </c>
    </row>
    <row r="10" spans="1:12" x14ac:dyDescent="0.2">
      <c r="B10" t="s">
        <v>498</v>
      </c>
      <c r="H10" s="299" t="s">
        <v>499</v>
      </c>
    </row>
    <row r="12" spans="1:12" x14ac:dyDescent="0.2">
      <c r="B12" t="s">
        <v>500</v>
      </c>
      <c r="H12" s="300" t="s">
        <v>510</v>
      </c>
    </row>
    <row r="14" spans="1:12" x14ac:dyDescent="0.2">
      <c r="B14" t="s">
        <v>501</v>
      </c>
      <c r="H14" s="301" t="s">
        <v>511</v>
      </c>
    </row>
    <row r="16" spans="1:12" x14ac:dyDescent="0.2">
      <c r="B16" t="s">
        <v>502</v>
      </c>
      <c r="H16" s="302" t="s">
        <v>512</v>
      </c>
    </row>
    <row r="18" spans="2:8" x14ac:dyDescent="0.2">
      <c r="B18" t="s">
        <v>503</v>
      </c>
      <c r="H18" s="302" t="s">
        <v>512</v>
      </c>
    </row>
    <row r="20" spans="2:8" x14ac:dyDescent="0.2">
      <c r="B20" t="s">
        <v>504</v>
      </c>
      <c r="H20" s="302" t="s">
        <v>513</v>
      </c>
    </row>
    <row r="22" spans="2:8" x14ac:dyDescent="0.2">
      <c r="B22" t="s">
        <v>505</v>
      </c>
      <c r="H22" s="300" t="s">
        <v>514</v>
      </c>
    </row>
    <row r="24" spans="2:8" x14ac:dyDescent="0.2">
      <c r="B24" t="s">
        <v>506</v>
      </c>
      <c r="H24" t="s">
        <v>515</v>
      </c>
    </row>
    <row r="26" spans="2:8" x14ac:dyDescent="0.2">
      <c r="B26" t="s">
        <v>507</v>
      </c>
      <c r="H26" t="s">
        <v>515</v>
      </c>
    </row>
    <row r="28" spans="2:8" x14ac:dyDescent="0.2">
      <c r="B28" t="s">
        <v>508</v>
      </c>
      <c r="H28" t="s">
        <v>515</v>
      </c>
    </row>
    <row r="30" spans="2:8" x14ac:dyDescent="0.2">
      <c r="B30" t="s">
        <v>509</v>
      </c>
      <c r="H30" t="s">
        <v>515</v>
      </c>
    </row>
  </sheetData>
  <printOptions horizontalCentered="1"/>
  <pageMargins left="0.75" right="0.75" top="0.53" bottom="1" header="0.5" footer="0.5"/>
  <pageSetup orientation="landscape" verticalDpi="200" r:id="rId1"/>
  <headerFooter alignWithMargins="0">
    <oddFooter>&amp;L&amp;7&amp;D &amp;T&amp;C&amp;8&amp;P&amp;R&amp;7o:/Corpdev/North America/Raul/Ammonia/&amp;F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5536"/>
  <sheetViews>
    <sheetView zoomScaleNormal="100" workbookViewId="0">
      <selection activeCell="B33" sqref="B33"/>
    </sheetView>
  </sheetViews>
  <sheetFormatPr defaultRowHeight="12.75" x14ac:dyDescent="0.2"/>
  <cols>
    <col min="1" max="1" width="8.28515625" customWidth="1"/>
    <col min="2" max="2" width="7.28515625" customWidth="1"/>
    <col min="3" max="3" width="17.140625" customWidth="1"/>
    <col min="4" max="4" width="7.85546875" customWidth="1"/>
    <col min="5" max="5" width="12.7109375" customWidth="1"/>
    <col min="6" max="10" width="10.7109375" customWidth="1"/>
    <col min="11" max="11" width="8.7109375" customWidth="1"/>
    <col min="12" max="12" width="10.7109375" customWidth="1"/>
  </cols>
  <sheetData>
    <row r="1" spans="1:14" ht="18.75" thickBot="1" x14ac:dyDescent="0.3">
      <c r="A1" s="392" t="s">
        <v>518</v>
      </c>
      <c r="B1" s="339"/>
      <c r="C1" s="339"/>
      <c r="D1" s="340"/>
      <c r="E1" s="340"/>
      <c r="F1" s="340"/>
      <c r="G1" s="340"/>
      <c r="H1" s="360"/>
      <c r="I1" s="360"/>
      <c r="J1" s="360"/>
      <c r="K1" s="360"/>
      <c r="L1" s="360"/>
      <c r="M1" s="764" t="s">
        <v>887</v>
      </c>
      <c r="N1" s="247"/>
    </row>
    <row r="2" spans="1:14" x14ac:dyDescent="0.2">
      <c r="A2" s="80"/>
    </row>
    <row r="3" spans="1:14" ht="15.75" x14ac:dyDescent="0.25">
      <c r="A3" s="80"/>
      <c r="M3" s="786" t="s">
        <v>656</v>
      </c>
    </row>
    <row r="4" spans="1:14" x14ac:dyDescent="0.2">
      <c r="A4" s="80"/>
    </row>
    <row r="5" spans="1:14" x14ac:dyDescent="0.2">
      <c r="A5" s="80"/>
    </row>
    <row r="6" spans="1:14" x14ac:dyDescent="0.2">
      <c r="B6" t="s">
        <v>114</v>
      </c>
      <c r="E6" s="762">
        <v>120</v>
      </c>
      <c r="F6" s="762">
        <v>140</v>
      </c>
      <c r="G6" s="762">
        <v>160</v>
      </c>
      <c r="H6" s="762">
        <v>180</v>
      </c>
      <c r="I6" s="702">
        <v>200</v>
      </c>
      <c r="J6" s="762">
        <v>220</v>
      </c>
      <c r="K6" s="762">
        <v>240</v>
      </c>
    </row>
    <row r="7" spans="1:14" x14ac:dyDescent="0.2">
      <c r="B7" t="s">
        <v>882</v>
      </c>
      <c r="E7" s="327">
        <f ca="1">-Dep!$E$108/1000</f>
        <v>-20.492665638170813</v>
      </c>
      <c r="F7" s="327">
        <f ca="1">-Dep!$E$108/1000</f>
        <v>-20.492665638170813</v>
      </c>
      <c r="G7" s="327">
        <f ca="1">-Dep!$E$108/1000</f>
        <v>-20.492665638170813</v>
      </c>
      <c r="H7" s="327">
        <f ca="1">-Dep!$E$108/1000</f>
        <v>-20.492665638170813</v>
      </c>
      <c r="I7" s="700">
        <f ca="1">-Dep!$E$108/1000</f>
        <v>-20.492665638170813</v>
      </c>
      <c r="J7" s="327">
        <f ca="1">-Dep!$E$108/1000</f>
        <v>-20.492665638170813</v>
      </c>
      <c r="K7" s="327">
        <f ca="1">-Dep!$E$108/1000</f>
        <v>-20.492665638170813</v>
      </c>
      <c r="L7" s="599"/>
    </row>
    <row r="8" spans="1:14" x14ac:dyDescent="0.2">
      <c r="B8" t="s">
        <v>883</v>
      </c>
      <c r="E8" s="327">
        <f ca="1">'S &amp; U'!$J$15</f>
        <v>10.380206386084552</v>
      </c>
      <c r="F8" s="327">
        <f ca="1">'S &amp; U'!$J$15</f>
        <v>10.380206386084552</v>
      </c>
      <c r="G8" s="327">
        <f ca="1">'S &amp; U'!$J$15</f>
        <v>10.380206386084552</v>
      </c>
      <c r="H8" s="327">
        <f ca="1">'S &amp; U'!$J$15</f>
        <v>10.380206386084552</v>
      </c>
      <c r="I8" s="700">
        <f ca="1">'S &amp; U'!$J$15</f>
        <v>10.380206386084552</v>
      </c>
      <c r="J8" s="327">
        <f ca="1">'S &amp; U'!$J$15</f>
        <v>10.380206386084552</v>
      </c>
      <c r="K8" s="327">
        <f ca="1">'S &amp; U'!$J$15</f>
        <v>10.380206386084552</v>
      </c>
      <c r="L8" s="601"/>
    </row>
    <row r="9" spans="1:14" x14ac:dyDescent="0.2">
      <c r="B9" t="s">
        <v>886</v>
      </c>
      <c r="E9" s="791">
        <f>'S &amp; U'!$J$16</f>
        <v>10</v>
      </c>
      <c r="F9" s="791">
        <f>'S &amp; U'!$J$16</f>
        <v>10</v>
      </c>
      <c r="G9" s="791">
        <f>'S &amp; U'!$J$16</f>
        <v>10</v>
      </c>
      <c r="H9" s="791">
        <f>'S &amp; U'!$J$16</f>
        <v>10</v>
      </c>
      <c r="I9" s="792">
        <f>'S &amp; U'!$J$16</f>
        <v>10</v>
      </c>
      <c r="J9" s="791">
        <f>'S &amp; U'!$J$16</f>
        <v>10</v>
      </c>
      <c r="K9" s="791">
        <f>'S &amp; U'!$J$16</f>
        <v>10</v>
      </c>
      <c r="L9" s="601"/>
    </row>
    <row r="10" spans="1:14" x14ac:dyDescent="0.2">
      <c r="B10" t="s">
        <v>881</v>
      </c>
      <c r="E10" s="425">
        <f t="shared" ref="E10:K10" ca="1" si="0">SUM(E6:E9)</f>
        <v>119.88754074791373</v>
      </c>
      <c r="F10" s="425">
        <f t="shared" ca="1" si="0"/>
        <v>139.88754074791373</v>
      </c>
      <c r="G10" s="425">
        <f t="shared" ca="1" si="0"/>
        <v>159.88754074791373</v>
      </c>
      <c r="H10" s="425">
        <f t="shared" ca="1" si="0"/>
        <v>179.88754074791373</v>
      </c>
      <c r="I10" s="727">
        <f t="shared" ca="1" si="0"/>
        <v>199.88754074791373</v>
      </c>
      <c r="J10" s="425">
        <f t="shared" ca="1" si="0"/>
        <v>219.88754074791373</v>
      </c>
      <c r="K10" s="425">
        <f t="shared" ca="1" si="0"/>
        <v>239.88754074791373</v>
      </c>
      <c r="L10" s="599"/>
    </row>
    <row r="11" spans="1:14" x14ac:dyDescent="0.2">
      <c r="I11" s="80"/>
      <c r="L11" s="225"/>
    </row>
    <row r="12" spans="1:14" x14ac:dyDescent="0.2">
      <c r="B12" t="s">
        <v>892</v>
      </c>
      <c r="E12" s="327">
        <f>'S &amp; U'!$J$14</f>
        <v>180.4</v>
      </c>
      <c r="F12" s="327">
        <f>'S &amp; U'!$J$14</f>
        <v>180.4</v>
      </c>
      <c r="G12" s="327">
        <f>'S &amp; U'!$J$14</f>
        <v>180.4</v>
      </c>
      <c r="H12" s="799">
        <f>'S &amp; U'!$J$14</f>
        <v>180.4</v>
      </c>
      <c r="I12" s="800">
        <f>'S &amp; U'!$J$14</f>
        <v>180.4</v>
      </c>
      <c r="J12" s="327">
        <f>'S &amp; U'!$J$14</f>
        <v>180.4</v>
      </c>
      <c r="K12" s="327">
        <f>'S &amp; U'!$J$14</f>
        <v>180.4</v>
      </c>
      <c r="L12" s="175"/>
    </row>
    <row r="13" spans="1:14" x14ac:dyDescent="0.2">
      <c r="B13" t="s">
        <v>893</v>
      </c>
      <c r="E13" s="791">
        <f ca="1">-Assumptions!$B$46</f>
        <v>-37.95531955949226</v>
      </c>
      <c r="F13" s="791">
        <f ca="1">-Assumptions!$B$46</f>
        <v>-37.95531955949226</v>
      </c>
      <c r="G13" s="791">
        <f ca="1">-Assumptions!$B$46</f>
        <v>-37.95531955949226</v>
      </c>
      <c r="H13" s="791">
        <f ca="1">-Assumptions!$B$46</f>
        <v>-37.95531955949226</v>
      </c>
      <c r="I13" s="792">
        <f ca="1">-Assumptions!$B$46</f>
        <v>-37.95531955949226</v>
      </c>
      <c r="J13" s="791">
        <f ca="1">-Assumptions!$B$46</f>
        <v>-37.95531955949226</v>
      </c>
      <c r="K13" s="791">
        <f ca="1">-Assumptions!$B$46</f>
        <v>-37.95531955949226</v>
      </c>
      <c r="L13" s="175"/>
    </row>
    <row r="14" spans="1:14" x14ac:dyDescent="0.2">
      <c r="B14" t="s">
        <v>438</v>
      </c>
      <c r="E14" s="762">
        <f ca="1">SUM(E10:E13)</f>
        <v>262.3322211884215</v>
      </c>
      <c r="F14" s="762">
        <f t="shared" ref="F14:K14" ca="1" si="1">SUM(F10:F13)</f>
        <v>282.3322211884215</v>
      </c>
      <c r="G14" s="762">
        <f t="shared" ca="1" si="1"/>
        <v>302.3322211884215</v>
      </c>
      <c r="H14" s="762">
        <f t="shared" ca="1" si="1"/>
        <v>322.3322211884215</v>
      </c>
      <c r="I14" s="702">
        <f t="shared" ca="1" si="1"/>
        <v>342.3322211884215</v>
      </c>
      <c r="J14" s="762">
        <f t="shared" ca="1" si="1"/>
        <v>362.3322211884215</v>
      </c>
      <c r="K14" s="762">
        <f t="shared" ca="1" si="1"/>
        <v>382.3322211884215</v>
      </c>
      <c r="L14" s="602"/>
    </row>
    <row r="15" spans="1:14" x14ac:dyDescent="0.2">
      <c r="I15" s="80"/>
      <c r="L15" s="602"/>
    </row>
    <row r="16" spans="1:14" x14ac:dyDescent="0.2">
      <c r="B16" s="335" t="s">
        <v>884</v>
      </c>
      <c r="C16" s="67"/>
      <c r="D16" s="67"/>
      <c r="E16" s="67"/>
      <c r="G16" s="298"/>
      <c r="I16" s="219"/>
      <c r="J16" s="110"/>
      <c r="L16" s="602"/>
    </row>
    <row r="17" spans="1:12" x14ac:dyDescent="0.2">
      <c r="B17" s="767" t="s">
        <v>894</v>
      </c>
      <c r="C17" t="s">
        <v>440</v>
      </c>
      <c r="D17" s="628">
        <f ca="1">'Balance Sheet'!G37/1000</f>
        <v>128.47899948798721</v>
      </c>
      <c r="E17" s="718">
        <f t="shared" ref="E17:G18" ca="1" si="2">+E$10/$D17</f>
        <v>0.93312947038572802</v>
      </c>
      <c r="F17" s="718">
        <f t="shared" ca="1" si="2"/>
        <v>1.0887969341712784</v>
      </c>
      <c r="G17" s="718">
        <f t="shared" ca="1" si="2"/>
        <v>1.2444643979568288</v>
      </c>
      <c r="H17" s="718">
        <f t="shared" ref="H17:K18" ca="1" si="3">+H$10/$D17</f>
        <v>1.4001318617423792</v>
      </c>
      <c r="I17" s="656">
        <f t="shared" ca="1" si="3"/>
        <v>1.5557993255279297</v>
      </c>
      <c r="J17" s="718">
        <f t="shared" ca="1" si="3"/>
        <v>1.7114667893134801</v>
      </c>
      <c r="K17" s="718">
        <f t="shared" ca="1" si="3"/>
        <v>1.8671342530990307</v>
      </c>
      <c r="L17" s="602"/>
    </row>
    <row r="18" spans="1:12" x14ac:dyDescent="0.2">
      <c r="A18" s="325">
        <v>-1</v>
      </c>
      <c r="B18" s="767" t="s">
        <v>894</v>
      </c>
      <c r="C18" t="s">
        <v>295</v>
      </c>
      <c r="D18" s="628">
        <v>160</v>
      </c>
      <c r="E18" s="718">
        <f t="shared" ca="1" si="2"/>
        <v>0.74929712967446083</v>
      </c>
      <c r="F18" s="718">
        <f t="shared" ca="1" si="2"/>
        <v>0.87429712967446083</v>
      </c>
      <c r="G18" s="718">
        <f t="shared" ca="1" si="2"/>
        <v>0.99929712967446083</v>
      </c>
      <c r="H18" s="718">
        <f t="shared" ca="1" si="3"/>
        <v>1.1242971296744608</v>
      </c>
      <c r="I18" s="656">
        <f t="shared" ca="1" si="3"/>
        <v>1.2492971296744608</v>
      </c>
      <c r="J18" s="718">
        <f t="shared" ca="1" si="3"/>
        <v>1.3742971296744608</v>
      </c>
      <c r="K18" s="718">
        <f t="shared" ca="1" si="3"/>
        <v>1.4992971296744608</v>
      </c>
      <c r="L18" s="602"/>
    </row>
    <row r="19" spans="1:12" x14ac:dyDescent="0.2">
      <c r="G19" s="298"/>
      <c r="I19" s="80"/>
      <c r="L19" s="602"/>
    </row>
    <row r="20" spans="1:12" x14ac:dyDescent="0.2">
      <c r="B20">
        <v>2001</v>
      </c>
      <c r="C20" t="s">
        <v>86</v>
      </c>
      <c r="D20" s="628">
        <f ca="1">('Valuation - DCF'!K67+'Valuation - DCF'!L67)/1000</f>
        <v>12.985018364313241</v>
      </c>
      <c r="E20" s="222">
        <f ca="1">+E$10/$D20</f>
        <v>9.2327586595796394</v>
      </c>
      <c r="F20" s="222">
        <f ca="1">+F$10/$D20</f>
        <v>10.772995218271467</v>
      </c>
      <c r="G20" s="222">
        <f t="shared" ref="G20:K21" ca="1" si="4">+G$10/$D20</f>
        <v>12.313231776963294</v>
      </c>
      <c r="H20" s="222">
        <f t="shared" ca="1" si="4"/>
        <v>13.853468335655121</v>
      </c>
      <c r="I20" s="656">
        <f t="shared" ca="1" si="4"/>
        <v>15.393704894346948</v>
      </c>
      <c r="J20" s="222">
        <f t="shared" ca="1" si="4"/>
        <v>16.933941453038774</v>
      </c>
      <c r="K20" s="222">
        <f t="shared" ca="1" si="4"/>
        <v>18.474178011730601</v>
      </c>
      <c r="L20" s="602"/>
    </row>
    <row r="21" spans="1:12" x14ac:dyDescent="0.2">
      <c r="A21" s="325">
        <v>-2</v>
      </c>
      <c r="B21">
        <v>2002</v>
      </c>
      <c r="C21" t="s">
        <v>86</v>
      </c>
      <c r="D21" s="628">
        <f ca="1">'Valuation - DCF'!M67/1000</f>
        <v>16.813821687816702</v>
      </c>
      <c r="E21" s="222">
        <f ca="1">+E$10/$D21</f>
        <v>7.130296905359967</v>
      </c>
      <c r="F21" s="222">
        <f ca="1">+F$10/$D21</f>
        <v>8.3197944729767332</v>
      </c>
      <c r="G21" s="222">
        <f t="shared" ca="1" si="4"/>
        <v>9.5092920405935004</v>
      </c>
      <c r="H21" s="222">
        <f t="shared" ca="1" si="4"/>
        <v>10.698789608210266</v>
      </c>
      <c r="I21" s="656">
        <f t="shared" ca="1" si="4"/>
        <v>11.888287175827033</v>
      </c>
      <c r="J21" s="222">
        <f t="shared" ca="1" si="4"/>
        <v>13.077784743443798</v>
      </c>
      <c r="K21" s="222">
        <f t="shared" ca="1" si="4"/>
        <v>14.267282311060566</v>
      </c>
      <c r="L21" s="602"/>
    </row>
    <row r="22" spans="1:12" x14ac:dyDescent="0.2">
      <c r="D22" s="264"/>
      <c r="E22" s="222"/>
      <c r="F22" s="222"/>
      <c r="G22" s="718"/>
      <c r="H22" s="222"/>
      <c r="I22" s="701"/>
      <c r="J22" s="255"/>
      <c r="K22" s="222"/>
      <c r="L22" s="602"/>
    </row>
    <row r="23" spans="1:12" x14ac:dyDescent="0.2">
      <c r="B23">
        <v>2001</v>
      </c>
      <c r="C23" t="s">
        <v>402</v>
      </c>
      <c r="D23" s="628">
        <f ca="1">'Valuation - DCF'!K71/1000+'Valuation - DCF'!L71/1000</f>
        <v>19.277194940544188</v>
      </c>
      <c r="E23" s="222">
        <f ca="1">+E$10/$D23</f>
        <v>6.2191382676617444</v>
      </c>
      <c r="F23" s="222">
        <f ca="1">+F$10/$D23</f>
        <v>7.2566336118591304</v>
      </c>
      <c r="G23" s="222">
        <f t="shared" ref="G23:K24" ca="1" si="5">+G$10/$D23</f>
        <v>8.2941289560565163</v>
      </c>
      <c r="H23" s="222">
        <f t="shared" ca="1" si="5"/>
        <v>9.3316243002539032</v>
      </c>
      <c r="I23" s="656">
        <f t="shared" ca="1" si="5"/>
        <v>10.369119644451288</v>
      </c>
      <c r="J23" s="222">
        <f t="shared" ca="1" si="5"/>
        <v>11.406614988648675</v>
      </c>
      <c r="K23" s="222">
        <f t="shared" ca="1" si="5"/>
        <v>12.44411033284606</v>
      </c>
      <c r="L23" s="602"/>
    </row>
    <row r="24" spans="1:12" x14ac:dyDescent="0.2">
      <c r="A24" s="325">
        <v>-2</v>
      </c>
      <c r="B24">
        <v>2002</v>
      </c>
      <c r="C24" t="s">
        <v>402</v>
      </c>
      <c r="D24" s="628">
        <f ca="1">'Valuation - DCF'!M71/1000</f>
        <v>26.559284363345306</v>
      </c>
      <c r="E24" s="222">
        <f ca="1">+E$10/$D24</f>
        <v>4.5139597553830004</v>
      </c>
      <c r="F24" s="222">
        <f ca="1">+F$10/$D24</f>
        <v>5.2669920933929122</v>
      </c>
      <c r="G24" s="222">
        <f t="shared" ca="1" si="5"/>
        <v>6.020024431402824</v>
      </c>
      <c r="H24" s="222">
        <f t="shared" ca="1" si="5"/>
        <v>6.7730567694127357</v>
      </c>
      <c r="I24" s="656">
        <f t="shared" ca="1" si="5"/>
        <v>7.5260891074226466</v>
      </c>
      <c r="J24" s="222">
        <f t="shared" ca="1" si="5"/>
        <v>8.2791214454325583</v>
      </c>
      <c r="K24" s="222">
        <f t="shared" ca="1" si="5"/>
        <v>9.0321537834424692</v>
      </c>
      <c r="L24" s="602"/>
    </row>
    <row r="25" spans="1:12" x14ac:dyDescent="0.2">
      <c r="D25" s="264"/>
      <c r="E25" s="222"/>
      <c r="F25" s="222"/>
      <c r="G25" s="718"/>
      <c r="H25" s="222"/>
      <c r="I25" s="701"/>
      <c r="J25" s="255"/>
      <c r="K25" s="222"/>
      <c r="L25" s="602"/>
    </row>
    <row r="26" spans="1:12" x14ac:dyDescent="0.2">
      <c r="B26" s="335" t="s">
        <v>885</v>
      </c>
      <c r="C26" s="210"/>
      <c r="D26" s="210"/>
      <c r="E26" s="222"/>
      <c r="F26" s="222"/>
      <c r="G26" s="718"/>
      <c r="H26" s="222"/>
      <c r="I26" s="701"/>
      <c r="J26" s="255"/>
      <c r="K26" s="222"/>
      <c r="L26" s="175"/>
    </row>
    <row r="27" spans="1:12" x14ac:dyDescent="0.2">
      <c r="B27">
        <v>2001</v>
      </c>
      <c r="C27" t="s">
        <v>107</v>
      </c>
      <c r="D27" s="628">
        <f ca="1">('Profit &amp; Loss (2)'!L34+'Profit &amp; Loss (2)'!M34)/1000</f>
        <v>36.017498000000003</v>
      </c>
      <c r="E27" s="222">
        <f t="shared" ref="E27:K27" ca="1" si="6">+E14/$D$27</f>
        <v>7.2834659750219597</v>
      </c>
      <c r="F27" s="222">
        <f t="shared" ca="1" si="6"/>
        <v>7.8387516308995551</v>
      </c>
      <c r="G27" s="718">
        <f t="shared" ca="1" si="6"/>
        <v>8.3940372867771504</v>
      </c>
      <c r="H27" s="222">
        <f t="shared" ca="1" si="6"/>
        <v>8.9493229426547476</v>
      </c>
      <c r="I27" s="656">
        <f t="shared" ca="1" si="6"/>
        <v>9.504608598532343</v>
      </c>
      <c r="J27" s="222">
        <f t="shared" ca="1" si="6"/>
        <v>10.059894254409938</v>
      </c>
      <c r="K27" s="222">
        <f t="shared" ca="1" si="6"/>
        <v>10.615179910287535</v>
      </c>
      <c r="L27" s="610"/>
    </row>
    <row r="28" spans="1:12" x14ac:dyDescent="0.2">
      <c r="A28" s="325">
        <v>-2</v>
      </c>
      <c r="B28">
        <v>2002</v>
      </c>
      <c r="C28" t="s">
        <v>107</v>
      </c>
      <c r="D28" s="628">
        <f ca="1">'Profit &amp; Loss (2)'!N34/1000</f>
        <v>43.104164533333346</v>
      </c>
      <c r="E28" s="222">
        <f t="shared" ref="E28:K28" ca="1" si="7">+E14/$D$28</f>
        <v>6.0860063993481308</v>
      </c>
      <c r="F28" s="222">
        <f t="shared" ca="1" si="7"/>
        <v>6.5499986891078272</v>
      </c>
      <c r="G28" s="718">
        <f t="shared" ca="1" si="7"/>
        <v>7.0139909788675228</v>
      </c>
      <c r="H28" s="222">
        <f t="shared" ca="1" si="7"/>
        <v>7.4779832686272183</v>
      </c>
      <c r="I28" s="656">
        <f t="shared" ca="1" si="7"/>
        <v>7.9419755583869138</v>
      </c>
      <c r="J28" s="222">
        <f t="shared" ca="1" si="7"/>
        <v>8.4059678481466094</v>
      </c>
      <c r="K28" s="222">
        <f t="shared" ca="1" si="7"/>
        <v>8.869960137906304</v>
      </c>
      <c r="L28" s="610"/>
    </row>
    <row r="29" spans="1:12" x14ac:dyDescent="0.2">
      <c r="D29" s="328"/>
      <c r="E29" s="328"/>
      <c r="F29" s="222"/>
      <c r="G29" s="718"/>
      <c r="H29" s="222"/>
      <c r="I29" s="656"/>
      <c r="J29" s="222"/>
      <c r="K29" s="222"/>
      <c r="L29" s="610"/>
    </row>
    <row r="30" spans="1:12" x14ac:dyDescent="0.2">
      <c r="E30" s="450"/>
      <c r="F30" s="450"/>
      <c r="G30" s="722"/>
      <c r="H30" s="450"/>
      <c r="I30" s="426"/>
      <c r="J30" s="450"/>
      <c r="K30" s="450"/>
      <c r="L30" s="610"/>
    </row>
    <row r="31" spans="1:12" x14ac:dyDescent="0.2">
      <c r="B31" t="s">
        <v>949</v>
      </c>
      <c r="D31" s="763">
        <v>0.1</v>
      </c>
      <c r="E31" s="645">
        <f ca="1">((XNPV($D31,'Valuation - DCF'!$K$53:$Q$53,'Valuation - DCF'!$K$40:$Q$40))/1000)-$E$14</f>
        <v>219.19555905234938</v>
      </c>
      <c r="F31" s="645">
        <f ca="1">((XNPV($D31,'Valuation - DCF'!$K$53:$Q$53,'Valuation - DCF'!$K$40:$Q$40))/1000)-$F$14</f>
        <v>199.19555905234938</v>
      </c>
      <c r="G31" s="723">
        <f ca="1">((XNPV($D31,'Valuation - DCF'!$K$53:$Q$53,'Valuation - DCF'!$K$40:$Q$40))/1000)-$G$14</f>
        <v>179.19555905234938</v>
      </c>
      <c r="H31" s="645">
        <f ca="1">((XNPV($D31,'Valuation - DCF'!$K$53:$Q$53,'Valuation - DCF'!$K$40:$Q$40))/1000)-$H$14</f>
        <v>159.19555905234938</v>
      </c>
      <c r="I31" s="703">
        <f ca="1">((XNPV($D31,'Valuation - DCF'!$K$53:$Q$53,'Valuation - DCF'!$K$40:$Q$40))/1000)-$I$14</f>
        <v>139.19555905234938</v>
      </c>
      <c r="J31" s="645">
        <f ca="1">((XNPV($D31,'Valuation - DCF'!$K$53:$Q$53,'Valuation - DCF'!$K$40:$Q$40))/1000)-$J$14</f>
        <v>119.19555905234938</v>
      </c>
      <c r="K31" s="645">
        <f ca="1">((XNPV($D31,'Valuation - DCF'!$K$53:$Q$53,'Valuation - DCF'!$K$40:$Q$40))/1000)-$K$14</f>
        <v>99.195559052349381</v>
      </c>
      <c r="L31" s="610"/>
    </row>
    <row r="32" spans="1:12" x14ac:dyDescent="0.2">
      <c r="B32" t="s">
        <v>949</v>
      </c>
      <c r="D32" s="763">
        <v>0.11</v>
      </c>
      <c r="E32" s="645">
        <f ca="1">((XNPV($D32,'Valuation - DCF'!$K$53:$Q$53,'Valuation - DCF'!$K$40:$Q$40))/1000)-$E$14</f>
        <v>203.86318664718277</v>
      </c>
      <c r="F32" s="645">
        <f ca="1">((XNPV($D32,'Valuation - DCF'!$K$53:$Q$53,'Valuation - DCF'!$K$40:$Q$40))/1000)-$F$14</f>
        <v>183.86318664718277</v>
      </c>
      <c r="G32" s="723">
        <f ca="1">((XNPV($D32,'Valuation - DCF'!$K$53:$Q$53,'Valuation - DCF'!$K$40:$Q$40))/1000)-$G$14</f>
        <v>163.86318664718277</v>
      </c>
      <c r="H32" s="645">
        <f ca="1">((XNPV($D32,'Valuation - DCF'!$K$53:$Q$53,'Valuation - DCF'!$K$40:$Q$40))/1000)-$H$14</f>
        <v>143.86318664718277</v>
      </c>
      <c r="I32" s="703">
        <f ca="1">((XNPV($D32,'Valuation - DCF'!$K$53:$Q$53,'Valuation - DCF'!$K$40:$Q$40))/1000)-$I$14</f>
        <v>123.86318664718277</v>
      </c>
      <c r="J32" s="645">
        <f ca="1">((XNPV($D32,'Valuation - DCF'!$K$53:$Q$53,'Valuation - DCF'!$K$40:$Q$40))/1000)-$J$14</f>
        <v>103.86318664718277</v>
      </c>
      <c r="K32" s="645">
        <f ca="1">((XNPV($D32,'Valuation - DCF'!$K$53:$Q$53,'Valuation - DCF'!$K$40:$Q$40))/1000)-$K$14</f>
        <v>83.863186647182772</v>
      </c>
    </row>
    <row r="33" spans="2:11" x14ac:dyDescent="0.2">
      <c r="B33" t="s">
        <v>949</v>
      </c>
      <c r="D33" s="763">
        <v>0.12</v>
      </c>
      <c r="E33" s="645">
        <f ca="1">((XNPV($D33,'Valuation - DCF'!$K$53:$Q$53,'Valuation - DCF'!$K$40:$Q$40))/1000)-$E$14</f>
        <v>189.22735851813411</v>
      </c>
      <c r="F33" s="645">
        <f ca="1">((XNPV($D33,'Valuation - DCF'!$K$53:$Q$53,'Valuation - DCF'!$K$40:$Q$40))/1000)-$F$14</f>
        <v>169.22735851813411</v>
      </c>
      <c r="G33" s="723">
        <f ca="1">((XNPV($D33,'Valuation - DCF'!$K$53:$Q$53,'Valuation - DCF'!$K$40:$Q$40))/1000)-$G$14</f>
        <v>149.22735851813411</v>
      </c>
      <c r="H33" s="645">
        <f ca="1">((XNPV($D33,'Valuation - DCF'!$K$53:$Q$53,'Valuation - DCF'!$K$40:$Q$40))/1000)-$H$14</f>
        <v>129.22735851813411</v>
      </c>
      <c r="I33" s="703">
        <f ca="1">((XNPV($D33,'Valuation - DCF'!$K$53:$Q$53,'Valuation - DCF'!$K$40:$Q$40))/1000)-$I$14</f>
        <v>109.22735851813411</v>
      </c>
      <c r="J33" s="645">
        <f ca="1">((XNPV($D33,'Valuation - DCF'!$K$53:$Q$53,'Valuation - DCF'!$K$40:$Q$40))/1000)-$J$14</f>
        <v>89.22735851813411</v>
      </c>
      <c r="K33" s="645">
        <f ca="1">((XNPV($D33,'Valuation - DCF'!$K$53:$Q$53,'Valuation - DCF'!$K$40:$Q$40))/1000)-$K$14</f>
        <v>69.22735851813411</v>
      </c>
    </row>
    <row r="34" spans="2:11" x14ac:dyDescent="0.2">
      <c r="B34" t="s">
        <v>949</v>
      </c>
      <c r="D34" s="763">
        <v>0.15</v>
      </c>
      <c r="E34" s="645">
        <f ca="1">((XNPV($D34,'Valuation - DCF'!$K$53:$Q$53,'Valuation - DCF'!$K$40:$Q$40))/1000)-$E$14</f>
        <v>149.12794902471848</v>
      </c>
      <c r="F34" s="645">
        <f ca="1">((XNPV($D34,'Valuation - DCF'!$K$53:$Q$53,'Valuation - DCF'!$K$40:$Q$40))/1000)-$F$14</f>
        <v>129.12794902471848</v>
      </c>
      <c r="G34" s="723">
        <f ca="1">((XNPV($D34,'Valuation - DCF'!$K$53:$Q$53,'Valuation - DCF'!$K$40:$Q$40))/1000)-$G$14</f>
        <v>109.12794902471848</v>
      </c>
      <c r="H34" s="645">
        <f ca="1">((XNPV($D34,'Valuation - DCF'!$K$53:$Q$53,'Valuation - DCF'!$K$40:$Q$40))/1000)-$H$14</f>
        <v>89.127949024718475</v>
      </c>
      <c r="I34" s="703">
        <f ca="1">((XNPV($D34,'Valuation - DCF'!$K$53:$Q$53,'Valuation - DCF'!$K$40:$Q$40))/1000)-$I$14</f>
        <v>69.127949024718475</v>
      </c>
      <c r="J34" s="645">
        <f ca="1">((XNPV($D34,'Valuation - DCF'!$K$53:$Q$53,'Valuation - DCF'!$K$40:$Q$40))/1000)-$J$14</f>
        <v>49.127949024718475</v>
      </c>
      <c r="K34" s="645">
        <f ca="1">((XNPV($D34,'Valuation - DCF'!$K$53:$Q$53,'Valuation - DCF'!$K$40:$Q$40))/1000)-$K$14</f>
        <v>29.127949024718475</v>
      </c>
    </row>
    <row r="35" spans="2:11" x14ac:dyDescent="0.2">
      <c r="B35" t="s">
        <v>949</v>
      </c>
      <c r="D35" s="763">
        <v>0.18</v>
      </c>
      <c r="E35" s="645">
        <f ca="1">((XNPV($D35,'Valuation - DCF'!$K$53:$Q$53,'Valuation - DCF'!$K$40:$Q$40))/1000)-$E$14</f>
        <v>114.05523406334578</v>
      </c>
      <c r="F35" s="645">
        <f ca="1">((XNPV($D35,'Valuation - DCF'!$K$53:$Q$53,'Valuation - DCF'!$K$40:$Q$40))/1000)-$F$14</f>
        <v>94.055234063345779</v>
      </c>
      <c r="G35" s="723">
        <f ca="1">((XNPV($D35,'Valuation - DCF'!$K$53:$Q$53,'Valuation - DCF'!$K$40:$Q$40))/1000)-$G$14</f>
        <v>74.055234063345779</v>
      </c>
      <c r="H35" s="645">
        <f ca="1">((XNPV($D35,'Valuation - DCF'!$K$53:$Q$53,'Valuation - DCF'!$K$40:$Q$40))/1000)-$H$14</f>
        <v>54.055234063345779</v>
      </c>
      <c r="I35" s="703">
        <f ca="1">((XNPV($D35,'Valuation - DCF'!$K$53:$Q$53,'Valuation - DCF'!$K$40:$Q$40))/1000)-$I$14</f>
        <v>34.055234063345779</v>
      </c>
      <c r="J35" s="645">
        <f ca="1">((XNPV($D35,'Valuation - DCF'!$K$53:$Q$53,'Valuation - DCF'!$K$40:$Q$40))/1000)-$J$14</f>
        <v>14.055234063345779</v>
      </c>
      <c r="K35" s="645">
        <f ca="1">((XNPV($D35,'Valuation - DCF'!$K$53:$Q$53,'Valuation - DCF'!$K$40:$Q$40))/1000)-$K$14</f>
        <v>-5.9447659366542212</v>
      </c>
    </row>
    <row r="36" spans="2:11" x14ac:dyDescent="0.2">
      <c r="I36" s="80"/>
    </row>
    <row r="37" spans="2:11" x14ac:dyDescent="0.2">
      <c r="B37" s="318" t="s">
        <v>984</v>
      </c>
      <c r="I37" s="80"/>
    </row>
    <row r="38" spans="2:11" x14ac:dyDescent="0.2">
      <c r="B38" s="318" t="s">
        <v>985</v>
      </c>
    </row>
    <row r="65536" spans="13:13" x14ac:dyDescent="0.2">
      <c r="M65536" t="s">
        <v>656</v>
      </c>
    </row>
  </sheetData>
  <printOptions horizontalCentered="1"/>
  <pageMargins left="0.75" right="0.75" top="0.53" bottom="1" header="0.5" footer="0.5"/>
  <pageSetup scale="91" orientation="landscape" verticalDpi="200" r:id="rId1"/>
  <headerFooter alignWithMargins="0">
    <oddFooter>&amp;L&amp;7&amp;D &amp;T&amp;C&amp;8&amp;P&amp;R&amp;7o:/Corpdev/North America/Raul/Ammonia/&amp;F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1"/>
  <sheetViews>
    <sheetView zoomScaleNormal="100" workbookViewId="0">
      <selection activeCell="B33" sqref="B33"/>
    </sheetView>
  </sheetViews>
  <sheetFormatPr defaultRowHeight="15" x14ac:dyDescent="0.2"/>
  <cols>
    <col min="1" max="7" width="9.140625" style="307"/>
    <col min="8" max="8" width="10.7109375" style="307" customWidth="1"/>
    <col min="9" max="16384" width="9.140625" style="307"/>
  </cols>
  <sheetData>
    <row r="1" spans="1:15" ht="27" thickBot="1" x14ac:dyDescent="0.45">
      <c r="A1" s="365" t="s">
        <v>518</v>
      </c>
      <c r="B1" s="349"/>
      <c r="C1" s="348"/>
      <c r="D1" s="350"/>
      <c r="E1" s="350"/>
      <c r="F1" s="350"/>
      <c r="G1" s="353"/>
      <c r="H1" s="350"/>
      <c r="I1" s="351"/>
      <c r="J1" s="822" t="s">
        <v>566</v>
      </c>
      <c r="K1" s="822"/>
      <c r="L1" s="822"/>
      <c r="M1" s="822"/>
      <c r="N1" s="822"/>
      <c r="O1" s="822"/>
    </row>
    <row r="2" spans="1:15" ht="15.75" x14ac:dyDescent="0.25">
      <c r="I2" s="181"/>
    </row>
    <row r="3" spans="1:15" ht="15.75" x14ac:dyDescent="0.25">
      <c r="I3" s="181"/>
    </row>
    <row r="4" spans="1:15" ht="15.75" x14ac:dyDescent="0.25">
      <c r="I4" s="181"/>
    </row>
    <row r="5" spans="1:15" ht="15.75" x14ac:dyDescent="0.25">
      <c r="I5" s="181"/>
    </row>
    <row r="6" spans="1:15" ht="15.75" x14ac:dyDescent="0.25">
      <c r="I6" s="181"/>
    </row>
    <row r="8" spans="1:15" x14ac:dyDescent="0.2">
      <c r="C8" s="307" t="s">
        <v>526</v>
      </c>
      <c r="I8" s="307" t="s">
        <v>533</v>
      </c>
    </row>
    <row r="9" spans="1:15" x14ac:dyDescent="0.2">
      <c r="D9" s="307" t="s">
        <v>644</v>
      </c>
      <c r="J9" s="307" t="s">
        <v>534</v>
      </c>
    </row>
    <row r="10" spans="1:15" x14ac:dyDescent="0.2">
      <c r="D10" s="307" t="s">
        <v>645</v>
      </c>
      <c r="J10" s="307" t="s">
        <v>575</v>
      </c>
    </row>
    <row r="11" spans="1:15" x14ac:dyDescent="0.2">
      <c r="J11" s="307" t="s">
        <v>650</v>
      </c>
    </row>
    <row r="12" spans="1:15" x14ac:dyDescent="0.2">
      <c r="C12" s="307" t="s">
        <v>527</v>
      </c>
      <c r="J12" s="307" t="s">
        <v>907</v>
      </c>
    </row>
    <row r="13" spans="1:15" x14ac:dyDescent="0.2">
      <c r="D13" s="307" t="s">
        <v>646</v>
      </c>
      <c r="J13" s="307" t="s">
        <v>951</v>
      </c>
    </row>
    <row r="14" spans="1:15" x14ac:dyDescent="0.2">
      <c r="D14" s="307" t="s">
        <v>647</v>
      </c>
    </row>
    <row r="15" spans="1:15" x14ac:dyDescent="0.2">
      <c r="D15" s="307" t="s">
        <v>648</v>
      </c>
      <c r="I15" s="307" t="s">
        <v>535</v>
      </c>
    </row>
    <row r="16" spans="1:15" x14ac:dyDescent="0.2">
      <c r="D16" s="307" t="s">
        <v>906</v>
      </c>
      <c r="J16" s="307" t="s">
        <v>908</v>
      </c>
    </row>
    <row r="18" spans="3:10" x14ac:dyDescent="0.2">
      <c r="C18" s="307" t="s">
        <v>528</v>
      </c>
      <c r="I18" s="307" t="s">
        <v>536</v>
      </c>
    </row>
    <row r="19" spans="3:10" x14ac:dyDescent="0.2">
      <c r="D19" s="307" t="s">
        <v>950</v>
      </c>
      <c r="J19" s="307" t="s">
        <v>652</v>
      </c>
    </row>
    <row r="20" spans="3:10" x14ac:dyDescent="0.2">
      <c r="D20" s="307" t="s">
        <v>649</v>
      </c>
    </row>
    <row r="21" spans="3:10" x14ac:dyDescent="0.2">
      <c r="I21" s="307" t="s">
        <v>537</v>
      </c>
    </row>
    <row r="22" spans="3:10" x14ac:dyDescent="0.2">
      <c r="J22" s="307" t="s">
        <v>538</v>
      </c>
    </row>
    <row r="23" spans="3:10" x14ac:dyDescent="0.2">
      <c r="C23" s="307" t="s">
        <v>529</v>
      </c>
      <c r="J23" s="307" t="s">
        <v>539</v>
      </c>
    </row>
    <row r="24" spans="3:10" x14ac:dyDescent="0.2">
      <c r="D24" s="307" t="s">
        <v>531</v>
      </c>
    </row>
    <row r="25" spans="3:10" x14ac:dyDescent="0.2">
      <c r="D25" s="307" t="s">
        <v>530</v>
      </c>
      <c r="I25" s="307" t="s">
        <v>540</v>
      </c>
    </row>
    <row r="26" spans="3:10" x14ac:dyDescent="0.2">
      <c r="D26" s="307" t="s">
        <v>532</v>
      </c>
      <c r="J26" s="307" t="s">
        <v>651</v>
      </c>
    </row>
    <row r="27" spans="3:10" x14ac:dyDescent="0.2">
      <c r="J27" s="307" t="s">
        <v>541</v>
      </c>
    </row>
    <row r="29" spans="3:10" x14ac:dyDescent="0.2">
      <c r="I29" s="307" t="s">
        <v>542</v>
      </c>
    </row>
    <row r="30" spans="3:10" x14ac:dyDescent="0.2">
      <c r="J30" s="307" t="s">
        <v>543</v>
      </c>
    </row>
    <row r="31" spans="3:10" x14ac:dyDescent="0.2">
      <c r="J31" s="307" t="s">
        <v>544</v>
      </c>
    </row>
  </sheetData>
  <mergeCells count="1">
    <mergeCell ref="J1:O1"/>
  </mergeCells>
  <printOptions horizontalCentered="1"/>
  <pageMargins left="0.75" right="0.75" top="0.53" bottom="1" header="0.5" footer="0.5"/>
  <pageSetup scale="89" orientation="landscape" verticalDpi="200" r:id="rId1"/>
  <headerFooter alignWithMargins="0">
    <oddFooter>&amp;L&amp;7&amp;D &amp;T&amp;C&amp;8&amp;P&amp;R&amp;7o:/Corpdev/North America/Raul/Ammonia/&amp;F</oddFooter>
  </headerFooter>
  <rowBreaks count="1" manualBreakCount="1">
    <brk id="44"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6"/>
  <sheetViews>
    <sheetView workbookViewId="0">
      <selection activeCell="B33" sqref="B33"/>
    </sheetView>
  </sheetViews>
  <sheetFormatPr defaultRowHeight="12.75" x14ac:dyDescent="0.2"/>
  <cols>
    <col min="4" max="4" width="19.7109375" bestFit="1" customWidth="1"/>
  </cols>
  <sheetData>
    <row r="1" spans="1:12" ht="27" thickBot="1" x14ac:dyDescent="0.45">
      <c r="A1" s="365" t="s">
        <v>518</v>
      </c>
      <c r="B1" s="343"/>
      <c r="C1" s="343"/>
      <c r="D1" s="344"/>
      <c r="E1" s="344"/>
      <c r="F1" s="344"/>
      <c r="G1" s="355"/>
      <c r="H1" s="360"/>
      <c r="I1" s="360"/>
      <c r="J1" s="360"/>
      <c r="K1" s="368" t="s">
        <v>576</v>
      </c>
      <c r="L1" s="367"/>
    </row>
    <row r="9" spans="1:12" ht="23.25" x14ac:dyDescent="0.35">
      <c r="D9" s="199"/>
    </row>
    <row r="10" spans="1:12" ht="27.75" x14ac:dyDescent="0.4">
      <c r="D10" s="200"/>
    </row>
    <row r="11" spans="1:12" ht="27.75" x14ac:dyDescent="0.4">
      <c r="D11" s="200"/>
    </row>
    <row r="12" spans="1:12" ht="27.75" x14ac:dyDescent="0.4">
      <c r="D12" t="s">
        <v>25</v>
      </c>
      <c r="E12" s="200" t="s">
        <v>25</v>
      </c>
    </row>
    <row r="13" spans="1:12" ht="27.75" customHeight="1" x14ac:dyDescent="0.4">
      <c r="A13" s="819" t="s">
        <v>576</v>
      </c>
      <c r="B13" s="819"/>
      <c r="C13" s="819"/>
      <c r="D13" s="819"/>
      <c r="E13" s="819"/>
      <c r="F13" s="819"/>
      <c r="G13" s="819"/>
      <c r="H13" s="819"/>
      <c r="I13" s="819"/>
      <c r="J13" s="819"/>
      <c r="K13" s="819"/>
      <c r="L13" s="819"/>
    </row>
    <row r="15" spans="1:12" ht="27.75" x14ac:dyDescent="0.4">
      <c r="D15" s="200"/>
    </row>
    <row r="19" spans="4:4" ht="27.75" x14ac:dyDescent="0.4">
      <c r="D19" s="200"/>
    </row>
    <row r="21" spans="4:4" ht="18" x14ac:dyDescent="0.25">
      <c r="D21" s="305"/>
    </row>
    <row r="23" spans="4:4" ht="18" x14ac:dyDescent="0.25">
      <c r="D23" s="304"/>
    </row>
    <row r="24" spans="4:4" x14ac:dyDescent="0.2">
      <c r="D24" s="198"/>
    </row>
    <row r="36" spans="8:8" x14ac:dyDescent="0.2">
      <c r="H36" s="317"/>
    </row>
  </sheetData>
  <mergeCells count="1">
    <mergeCell ref="A13:L13"/>
  </mergeCells>
  <printOptions horizontalCentered="1"/>
  <pageMargins left="0.75" right="0.75" top="0.53" bottom="1" header="0.5" footer="0.5"/>
  <pageSetup orientation="landscape" verticalDpi="200" r:id="rId1"/>
  <headerFooter alignWithMargins="0">
    <oddFooter>&amp;L&amp;7&amp;D &amp;T&amp;C&amp;8&amp;P&amp;R&amp;7o:/Corpdev/North America/Raul/Ammonia/&amp;F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18"/>
  <sheetViews>
    <sheetView showGridLines="0" view="pageBreakPreview" zoomScale="60" zoomScaleNormal="80" workbookViewId="0">
      <pane ySplit="5" topLeftCell="A28" activePane="bottomLeft" state="frozen"/>
      <selection activeCell="B33" sqref="B33"/>
      <selection pane="bottomLeft" activeCell="B33" sqref="B33"/>
    </sheetView>
  </sheetViews>
  <sheetFormatPr defaultRowHeight="12.75" outlineLevelRow="1" outlineLevelCol="1" x14ac:dyDescent="0.2"/>
  <cols>
    <col min="1" max="1" width="48.85546875" style="1" customWidth="1"/>
    <col min="2" max="2" width="12.140625" style="1" customWidth="1"/>
    <col min="3" max="3" width="12.7109375" style="1" bestFit="1" customWidth="1"/>
    <col min="4" max="4" width="13.7109375" style="1" bestFit="1" customWidth="1"/>
    <col min="5" max="5" width="12.42578125" style="1" bestFit="1" customWidth="1"/>
    <col min="6" max="6" width="13.28515625" style="1" bestFit="1" customWidth="1"/>
    <col min="7" max="7" width="12.42578125" style="1" hidden="1" customWidth="1" outlineLevel="1"/>
    <col min="8" max="8" width="12.42578125" style="57" hidden="1" customWidth="1" outlineLevel="1"/>
    <col min="9" max="9" width="12.42578125" style="25" customWidth="1" collapsed="1"/>
    <col min="10" max="10" width="12.42578125" style="1" bestFit="1" customWidth="1"/>
    <col min="11" max="13" width="13.28515625" style="1" bestFit="1" customWidth="1"/>
    <col min="14" max="16" width="9.140625" style="1"/>
    <col min="17" max="18" width="9.28515625" style="1" bestFit="1" customWidth="1"/>
    <col min="19" max="16384" width="9.140625" style="1"/>
  </cols>
  <sheetData>
    <row r="1" spans="1:13" ht="27" thickBot="1" x14ac:dyDescent="0.45">
      <c r="A1" s="352" t="s">
        <v>518</v>
      </c>
      <c r="B1" s="345"/>
      <c r="C1" s="345"/>
      <c r="D1" s="347"/>
      <c r="E1" s="347"/>
      <c r="F1" s="347"/>
      <c r="G1" s="347"/>
      <c r="H1" s="347"/>
      <c r="I1" s="347"/>
      <c r="J1" s="347"/>
      <c r="K1" s="390" t="s">
        <v>661</v>
      </c>
      <c r="L1" s="347"/>
      <c r="M1" s="347"/>
    </row>
    <row r="2" spans="1:13" ht="25.5" x14ac:dyDescent="0.35">
      <c r="A2" s="381"/>
      <c r="B2" s="382"/>
      <c r="C2" s="382"/>
      <c r="D2" s="336"/>
      <c r="E2" s="336"/>
      <c r="F2" s="336"/>
      <c r="G2" s="336"/>
      <c r="H2" s="383"/>
      <c r="I2" s="383"/>
      <c r="K2" s="52"/>
      <c r="M2" s="768" t="s">
        <v>659</v>
      </c>
    </row>
    <row r="3" spans="1:13" ht="25.5" x14ac:dyDescent="0.35">
      <c r="A3" s="381"/>
      <c r="B3" s="382"/>
      <c r="C3" s="382"/>
      <c r="D3" s="336"/>
      <c r="E3" s="336"/>
      <c r="F3" s="336"/>
      <c r="G3" s="336"/>
      <c r="H3" s="383"/>
      <c r="I3" s="383"/>
      <c r="J3" s="52"/>
      <c r="K3" s="52"/>
      <c r="L3" s="52"/>
      <c r="M3" s="52"/>
    </row>
    <row r="4" spans="1:13" ht="25.5" x14ac:dyDescent="0.35">
      <c r="A4" s="381"/>
      <c r="B4" s="382"/>
      <c r="C4" s="382"/>
      <c r="D4" s="336"/>
      <c r="E4" s="336"/>
      <c r="F4" s="336"/>
      <c r="G4" s="452" t="s">
        <v>600</v>
      </c>
      <c r="H4" s="452" t="s">
        <v>601</v>
      </c>
      <c r="I4" s="452" t="s">
        <v>835</v>
      </c>
      <c r="J4" s="451"/>
      <c r="K4" s="451"/>
      <c r="L4" s="451"/>
      <c r="M4" s="451"/>
    </row>
    <row r="5" spans="1:13" s="25" customFormat="1" ht="15.75" x14ac:dyDescent="0.25">
      <c r="A5" s="384" t="s">
        <v>25</v>
      </c>
      <c r="B5" s="9">
        <v>1996</v>
      </c>
      <c r="C5" s="10">
        <v>1997</v>
      </c>
      <c r="D5" s="10">
        <v>1998</v>
      </c>
      <c r="E5" s="10">
        <v>1999</v>
      </c>
      <c r="F5" s="50">
        <v>2000</v>
      </c>
      <c r="G5" s="468">
        <v>2001</v>
      </c>
      <c r="H5" s="50">
        <v>2001</v>
      </c>
      <c r="I5" s="50">
        <v>2001</v>
      </c>
      <c r="J5" s="50">
        <v>2002</v>
      </c>
      <c r="K5" s="50">
        <v>2003</v>
      </c>
      <c r="L5" s="50">
        <v>2004</v>
      </c>
      <c r="M5" s="28">
        <v>2005</v>
      </c>
    </row>
    <row r="6" spans="1:13" x14ac:dyDescent="0.2">
      <c r="F6" s="23"/>
      <c r="G6" s="469"/>
      <c r="H6" s="25"/>
    </row>
    <row r="7" spans="1:13" x14ac:dyDescent="0.2">
      <c r="A7" s="2" t="s">
        <v>26</v>
      </c>
      <c r="F7" s="25"/>
      <c r="G7" s="470"/>
      <c r="H7" s="25"/>
    </row>
    <row r="8" spans="1:13" x14ac:dyDescent="0.2">
      <c r="A8" s="1" t="s">
        <v>27</v>
      </c>
      <c r="B8" s="4">
        <v>1490895</v>
      </c>
      <c r="C8" s="4">
        <v>2077853</v>
      </c>
      <c r="D8" s="4">
        <v>1356251</v>
      </c>
      <c r="E8" s="4">
        <v>1478101</v>
      </c>
      <c r="F8" s="54">
        <f>('Profit &amp; Loss'!K18-'Profit &amp; Loss'!K30)/0.04</f>
        <v>2447775</v>
      </c>
      <c r="G8" s="471">
        <f ca="1">+('Valuation - DCF'!K21+'Valuation - DCF'!K31)/0.04</f>
        <v>1021303.5833333334</v>
      </c>
      <c r="H8" s="54">
        <f ca="1">+('Valuation - DCF'!L21+'Valuation - DCF'!L31)/0.04</f>
        <v>990445.83333333337</v>
      </c>
      <c r="I8" s="54">
        <f ca="1">G8+H8</f>
        <v>2011749.4166666667</v>
      </c>
      <c r="J8" s="54">
        <f ca="1">+('Valuation - DCF'!M21+'Valuation - DCF'!M31)/0.04</f>
        <v>2054927.2133333336</v>
      </c>
      <c r="K8" s="54">
        <f ca="1">+('Valuation - DCF'!N21+'Valuation - DCF'!N31)/0.04</f>
        <v>2092711.1818666672</v>
      </c>
      <c r="L8" s="54">
        <f ca="1">+('Valuation - DCF'!O21+'Valuation - DCF'!O31)/0.04</f>
        <v>2171087.069141333</v>
      </c>
      <c r="M8" s="54">
        <f ca="1">+('Valuation - DCF'!P21+'Valuation - DCF'!P31)/0.04</f>
        <v>2246997.991906987</v>
      </c>
    </row>
    <row r="9" spans="1:13" x14ac:dyDescent="0.2">
      <c r="A9" s="1" t="s">
        <v>28</v>
      </c>
      <c r="B9" s="506">
        <v>18655</v>
      </c>
      <c r="C9" s="506">
        <v>21477</v>
      </c>
      <c r="D9" s="506">
        <v>24104</v>
      </c>
      <c r="E9" s="506">
        <v>2199</v>
      </c>
      <c r="F9" s="506">
        <v>0</v>
      </c>
      <c r="G9" s="510">
        <v>0</v>
      </c>
      <c r="H9" s="506">
        <v>0</v>
      </c>
      <c r="I9" s="506">
        <f t="shared" ref="I9:I35" si="0">G9+H9</f>
        <v>0</v>
      </c>
      <c r="J9" s="506">
        <v>0</v>
      </c>
      <c r="K9" s="506">
        <v>0</v>
      </c>
      <c r="L9" s="506">
        <v>0</v>
      </c>
      <c r="M9" s="506">
        <v>0</v>
      </c>
    </row>
    <row r="10" spans="1:13" x14ac:dyDescent="0.2">
      <c r="A10" s="1" t="s">
        <v>29</v>
      </c>
      <c r="B10" s="506">
        <v>2429</v>
      </c>
      <c r="C10" s="506">
        <v>3119</v>
      </c>
      <c r="D10" s="506">
        <v>4198</v>
      </c>
      <c r="E10" s="506">
        <v>2112</v>
      </c>
      <c r="F10" s="506">
        <v>0</v>
      </c>
      <c r="G10" s="510">
        <v>0</v>
      </c>
      <c r="H10" s="506">
        <v>0</v>
      </c>
      <c r="I10" s="506">
        <f t="shared" si="0"/>
        <v>0</v>
      </c>
      <c r="J10" s="506">
        <v>0</v>
      </c>
      <c r="K10" s="506">
        <v>0</v>
      </c>
      <c r="L10" s="506">
        <v>0</v>
      </c>
      <c r="M10" s="506">
        <v>0</v>
      </c>
    </row>
    <row r="11" spans="1:13" ht="15" x14ac:dyDescent="0.35">
      <c r="A11" s="1" t="s">
        <v>30</v>
      </c>
      <c r="B11" s="507">
        <v>1803</v>
      </c>
      <c r="C11" s="507">
        <v>1200</v>
      </c>
      <c r="D11" s="507">
        <v>1911</v>
      </c>
      <c r="E11" s="507">
        <v>984</v>
      </c>
      <c r="F11" s="507">
        <v>0</v>
      </c>
      <c r="G11" s="511">
        <v>0</v>
      </c>
      <c r="H11" s="507">
        <v>0</v>
      </c>
      <c r="I11" s="507">
        <f t="shared" si="0"/>
        <v>0</v>
      </c>
      <c r="J11" s="507">
        <v>0</v>
      </c>
      <c r="K11" s="507">
        <v>0</v>
      </c>
      <c r="L11" s="507">
        <v>0</v>
      </c>
      <c r="M11" s="507">
        <v>0</v>
      </c>
    </row>
    <row r="12" spans="1:13" x14ac:dyDescent="0.2">
      <c r="A12" s="1" t="s">
        <v>31</v>
      </c>
      <c r="B12" s="4">
        <f t="shared" ref="B12:M12" si="1">SUM(B8:B11)</f>
        <v>1513782</v>
      </c>
      <c r="C12" s="4">
        <f t="shared" si="1"/>
        <v>2103649</v>
      </c>
      <c r="D12" s="4">
        <f t="shared" si="1"/>
        <v>1386464</v>
      </c>
      <c r="E12" s="4">
        <f t="shared" si="1"/>
        <v>1483396</v>
      </c>
      <c r="F12" s="54">
        <f t="shared" si="1"/>
        <v>2447775</v>
      </c>
      <c r="G12" s="471">
        <f t="shared" ca="1" si="1"/>
        <v>1021303.5833333334</v>
      </c>
      <c r="H12" s="54">
        <f t="shared" ca="1" si="1"/>
        <v>990445.83333333337</v>
      </c>
      <c r="I12" s="18">
        <f t="shared" ca="1" si="0"/>
        <v>2011749.4166666667</v>
      </c>
      <c r="J12" s="18">
        <f t="shared" ca="1" si="1"/>
        <v>2054927.2133333336</v>
      </c>
      <c r="K12" s="18">
        <f t="shared" ca="1" si="1"/>
        <v>2092711.1818666672</v>
      </c>
      <c r="L12" s="18">
        <f t="shared" ca="1" si="1"/>
        <v>2171087.069141333</v>
      </c>
      <c r="M12" s="18">
        <f t="shared" ca="1" si="1"/>
        <v>2246997.991906987</v>
      </c>
    </row>
    <row r="13" spans="1:13" x14ac:dyDescent="0.2">
      <c r="B13" s="4"/>
      <c r="C13" s="4"/>
      <c r="D13" s="4"/>
      <c r="E13" s="4"/>
      <c r="F13" s="25"/>
      <c r="G13" s="470"/>
      <c r="H13" s="25"/>
      <c r="I13" s="1"/>
    </row>
    <row r="14" spans="1:13" x14ac:dyDescent="0.2">
      <c r="A14" s="2" t="s">
        <v>32</v>
      </c>
      <c r="B14" s="4"/>
      <c r="C14" s="4"/>
      <c r="D14" s="4"/>
      <c r="E14" s="4"/>
      <c r="F14" s="25"/>
      <c r="G14" s="470"/>
      <c r="H14" s="25"/>
      <c r="I14" s="1"/>
      <c r="K14" s="18"/>
      <c r="M14" s="18"/>
    </row>
    <row r="15" spans="1:13" x14ac:dyDescent="0.2">
      <c r="A15" s="1" t="s">
        <v>34</v>
      </c>
      <c r="B15" s="4">
        <f>1455674-'Cash Flow '!B10</f>
        <v>1454019</v>
      </c>
      <c r="C15" s="4">
        <f>2041130-'Cash Flow '!C10</f>
        <v>2038331</v>
      </c>
      <c r="D15" s="4">
        <f>1312577-'Profit &amp; Loss'!I22</f>
        <v>1309682</v>
      </c>
      <c r="E15" s="4">
        <f>1416945-'Profit &amp; Loss'!J22</f>
        <v>1414799</v>
      </c>
      <c r="F15" s="54">
        <f>+F8*0.96</f>
        <v>2349864</v>
      </c>
      <c r="G15" s="471">
        <f t="shared" ref="G15:M15" ca="1" si="2">+G12*0.96</f>
        <v>980451.44</v>
      </c>
      <c r="H15" s="54">
        <f t="shared" ca="1" si="2"/>
        <v>950828</v>
      </c>
      <c r="I15" s="54">
        <f t="shared" ca="1" si="0"/>
        <v>1931279.44</v>
      </c>
      <c r="J15" s="54">
        <f t="shared" ca="1" si="2"/>
        <v>1972730.1248000001</v>
      </c>
      <c r="K15" s="54">
        <f t="shared" ca="1" si="2"/>
        <v>2009002.7345920005</v>
      </c>
      <c r="L15" s="54">
        <f t="shared" ca="1" si="2"/>
        <v>2084243.5863756796</v>
      </c>
      <c r="M15" s="54">
        <f t="shared" ca="1" si="2"/>
        <v>2157118.0722307074</v>
      </c>
    </row>
    <row r="16" spans="1:13" x14ac:dyDescent="0.2">
      <c r="A16" s="1" t="s">
        <v>396</v>
      </c>
      <c r="B16" s="506">
        <f>+'Cash Flow '!B10</f>
        <v>1655</v>
      </c>
      <c r="C16" s="506">
        <f>+'Cash Flow '!C10</f>
        <v>2799</v>
      </c>
      <c r="D16" s="506">
        <f>+'Profit &amp; Loss'!I22</f>
        <v>2895</v>
      </c>
      <c r="E16" s="506">
        <f>+'Profit &amp; Loss'!J22</f>
        <v>2146</v>
      </c>
      <c r="F16" s="506">
        <f>+'Profit &amp; Loss'!K22</f>
        <v>3300</v>
      </c>
      <c r="G16" s="510">
        <f ca="1">+((Dep!$F$52+Dep!$F$66)/2)</f>
        <v>1332.9317275822159</v>
      </c>
      <c r="H16" s="506">
        <f ca="1">+((Dep!$F$52+Dep!$F$66)/2)+Dep!F68/2</f>
        <v>1845.0399427051036</v>
      </c>
      <c r="I16" s="506">
        <f t="shared" ca="1" si="0"/>
        <v>3177.9716702873193</v>
      </c>
      <c r="J16" s="506">
        <f ca="1">+(Dep!G52+Dep!G66)+Dep!G68</f>
        <v>3706.7465520768742</v>
      </c>
      <c r="K16" s="506">
        <f ca="1">+(Dep!H52+Dep!H66)+Dep!H68</f>
        <v>3723.4132187435407</v>
      </c>
      <c r="L16" s="506">
        <f ca="1">+(Dep!I52+Dep!I66)+Dep!I68</f>
        <v>3740.0798854102072</v>
      </c>
      <c r="M16" s="506">
        <f ca="1">+(Dep!J52+Dep!J66)+Dep!J68</f>
        <v>3756.7465520768742</v>
      </c>
    </row>
    <row r="17" spans="1:13" x14ac:dyDescent="0.2">
      <c r="A17" s="1" t="s">
        <v>35</v>
      </c>
      <c r="B17" s="506">
        <v>17807</v>
      </c>
      <c r="C17" s="506">
        <v>22075</v>
      </c>
      <c r="D17" s="506">
        <v>23390</v>
      </c>
      <c r="E17" s="506">
        <v>2479</v>
      </c>
      <c r="F17" s="506">
        <v>0</v>
      </c>
      <c r="G17" s="510">
        <v>0</v>
      </c>
      <c r="H17" s="506">
        <v>0</v>
      </c>
      <c r="I17" s="506">
        <f t="shared" si="0"/>
        <v>0</v>
      </c>
      <c r="J17" s="506">
        <v>0</v>
      </c>
      <c r="K17" s="506">
        <v>0</v>
      </c>
      <c r="L17" s="506">
        <v>0</v>
      </c>
      <c r="M17" s="506">
        <v>0</v>
      </c>
    </row>
    <row r="18" spans="1:13" x14ac:dyDescent="0.2">
      <c r="A18" s="1" t="s">
        <v>33</v>
      </c>
      <c r="B18" s="506">
        <v>31653</v>
      </c>
      <c r="C18" s="506">
        <v>40458</v>
      </c>
      <c r="D18" s="506">
        <v>39227</v>
      </c>
      <c r="E18" s="506">
        <v>45703</v>
      </c>
      <c r="F18" s="506">
        <f>35051+26451</f>
        <v>61502</v>
      </c>
      <c r="G18" s="510">
        <f>-SUM('Valuation - DCF'!K23:K27)</f>
        <v>21599</v>
      </c>
      <c r="H18" s="506">
        <f ca="1">-SUM('Valuation - DCF'!L23:L27)</f>
        <v>22853.478666666666</v>
      </c>
      <c r="I18" s="506">
        <f t="shared" ca="1" si="0"/>
        <v>44452.478666666662</v>
      </c>
      <c r="J18" s="506">
        <f ca="1">-SUM('Valuation - DCF'!M23:M27)</f>
        <v>46232.394666666667</v>
      </c>
      <c r="K18" s="506">
        <f ca="1">-SUM('Valuation - DCF'!N23:N27)</f>
        <v>46465.145493333337</v>
      </c>
      <c r="L18" s="506">
        <f ca="1">-SUM('Valuation - DCF'!O23:O27)</f>
        <v>47019.850833066666</v>
      </c>
      <c r="M18" s="506">
        <f ca="1">-SUM('Valuation - DCF'!P23:P27)</f>
        <v>47551.944386389339</v>
      </c>
    </row>
    <row r="19" spans="1:13" ht="15" x14ac:dyDescent="0.35">
      <c r="A19" s="1" t="s">
        <v>232</v>
      </c>
      <c r="B19" s="507">
        <v>3117</v>
      </c>
      <c r="C19" s="507">
        <v>4905</v>
      </c>
      <c r="D19" s="507">
        <v>5745</v>
      </c>
      <c r="E19" s="507">
        <v>5260</v>
      </c>
      <c r="F19" s="507">
        <v>7978</v>
      </c>
      <c r="G19" s="612">
        <f>('Balance Sheet'!I27+'Balance Sheet'!I33)*Assumptions!$B$10*0.5-('Balance Sheet'!F10+'Balance Sheet'!F11)*Assumptions!$B$11*0.5</f>
        <v>6097.5749999999998</v>
      </c>
      <c r="H19" s="507">
        <f>('Balance Sheet'!J27+'Balance Sheet'!J33)*Assumptions!$B$10*0.5</f>
        <v>6765</v>
      </c>
      <c r="I19" s="507">
        <f t="shared" si="0"/>
        <v>12862.575000000001</v>
      </c>
      <c r="J19" s="507">
        <f>('Balance Sheet'!K27+'Balance Sheet'!K33)*Assumptions!$B$10</f>
        <v>13530</v>
      </c>
      <c r="K19" s="507">
        <f>('Balance Sheet'!L27+'Balance Sheet'!L33)*Assumptions!$B$10</f>
        <v>13530</v>
      </c>
      <c r="L19" s="507">
        <f>('Balance Sheet'!M27+'Balance Sheet'!M33)*Assumptions!$B$10</f>
        <v>13530</v>
      </c>
      <c r="M19" s="507">
        <f>('Balance Sheet'!N27+'Balance Sheet'!N33)*Assumptions!$B$10</f>
        <v>13530</v>
      </c>
    </row>
    <row r="20" spans="1:13" x14ac:dyDescent="0.2">
      <c r="A20" s="1" t="s">
        <v>36</v>
      </c>
      <c r="B20" s="4">
        <f t="shared" ref="B20:M20" si="3">SUM(B15:B19)</f>
        <v>1508251</v>
      </c>
      <c r="C20" s="4">
        <f t="shared" si="3"/>
        <v>2108568</v>
      </c>
      <c r="D20" s="4">
        <f t="shared" si="3"/>
        <v>1380939</v>
      </c>
      <c r="E20" s="4">
        <f t="shared" si="3"/>
        <v>1470387</v>
      </c>
      <c r="F20" s="54">
        <f t="shared" si="3"/>
        <v>2422644</v>
      </c>
      <c r="G20" s="471">
        <f t="shared" ca="1" si="3"/>
        <v>1009480.9467275821</v>
      </c>
      <c r="H20" s="54">
        <f t="shared" ca="1" si="3"/>
        <v>982291.51860937173</v>
      </c>
      <c r="I20" s="18">
        <f t="shared" ca="1" si="0"/>
        <v>1991772.4653369538</v>
      </c>
      <c r="J20" s="18">
        <f t="shared" ca="1" si="3"/>
        <v>2036199.2660187436</v>
      </c>
      <c r="K20" s="18">
        <f t="shared" ca="1" si="3"/>
        <v>2072721.2933040773</v>
      </c>
      <c r="L20" s="18">
        <f t="shared" ca="1" si="3"/>
        <v>2148533.5170941562</v>
      </c>
      <c r="M20" s="18">
        <f t="shared" ca="1" si="3"/>
        <v>2221956.7631691732</v>
      </c>
    </row>
    <row r="21" spans="1:13" x14ac:dyDescent="0.2">
      <c r="B21" s="4"/>
      <c r="C21" s="4"/>
      <c r="D21" s="4"/>
      <c r="E21" s="4"/>
      <c r="F21" s="25"/>
      <c r="G21" s="470"/>
      <c r="H21" s="21"/>
      <c r="I21" s="18"/>
      <c r="J21" s="18"/>
    </row>
    <row r="22" spans="1:13" x14ac:dyDescent="0.2">
      <c r="A22" s="2" t="s">
        <v>137</v>
      </c>
      <c r="B22" s="4"/>
      <c r="C22" s="4"/>
      <c r="D22" s="4"/>
      <c r="E22" s="4"/>
      <c r="F22" s="25"/>
      <c r="G22" s="470"/>
      <c r="H22" s="25"/>
      <c r="I22" s="1"/>
    </row>
    <row r="23" spans="1:13" hidden="1" outlineLevel="1" x14ac:dyDescent="0.2">
      <c r="A23" s="1" t="s">
        <v>748</v>
      </c>
      <c r="B23" s="4"/>
      <c r="C23" s="4"/>
      <c r="D23" s="4"/>
      <c r="E23" s="4"/>
      <c r="F23" s="25"/>
      <c r="G23" s="466">
        <v>0</v>
      </c>
      <c r="H23" s="629">
        <f>'Valuation - DCF'!L28</f>
        <v>0</v>
      </c>
      <c r="I23" s="629">
        <f t="shared" si="0"/>
        <v>0</v>
      </c>
      <c r="J23" s="629">
        <f>'Valuation - DCF'!M28</f>
        <v>0</v>
      </c>
      <c r="K23" s="629">
        <f>'Valuation - DCF'!N28</f>
        <v>0</v>
      </c>
      <c r="L23" s="629">
        <f>'Valuation - DCF'!O28</f>
        <v>0</v>
      </c>
      <c r="M23" s="629">
        <f>'Valuation - DCF'!P28</f>
        <v>0</v>
      </c>
    </row>
    <row r="24" spans="1:13" collapsed="1" x14ac:dyDescent="0.2">
      <c r="A24" s="1" t="s">
        <v>135</v>
      </c>
      <c r="B24" s="4"/>
      <c r="C24" s="4"/>
      <c r="D24" s="4"/>
      <c r="E24" s="4"/>
      <c r="F24" s="25"/>
      <c r="G24" s="510">
        <v>0</v>
      </c>
      <c r="H24" s="506">
        <f>(365/DAYS360(Assumptions!$B$20,12/31/2001))*'Valuation - DCF'!L29</f>
        <v>0</v>
      </c>
      <c r="I24" s="506">
        <f t="shared" si="0"/>
        <v>0</v>
      </c>
      <c r="J24" s="506">
        <f>'Valuation - DCF'!M29</f>
        <v>2139.4706666666666</v>
      </c>
      <c r="K24" s="506">
        <f>'Valuation - DCF'!N29</f>
        <v>4450.0989866666669</v>
      </c>
      <c r="L24" s="506">
        <f>'Valuation - DCF'!O29</f>
        <v>6942.1544191999992</v>
      </c>
      <c r="M24" s="506">
        <f>'Valuation - DCF'!P29</f>
        <v>9626.454127957335</v>
      </c>
    </row>
    <row r="25" spans="1:13" ht="15" x14ac:dyDescent="0.35">
      <c r="A25" s="1" t="s">
        <v>445</v>
      </c>
      <c r="B25" s="4"/>
      <c r="C25" s="4"/>
      <c r="D25" s="4"/>
      <c r="E25" s="4"/>
      <c r="F25" s="4"/>
      <c r="G25" s="511">
        <v>0</v>
      </c>
      <c r="H25" s="507">
        <f>(365/DAYS360(Assumptions!$B$20,12/31/2001))*'Valuation - DCF'!L30</f>
        <v>0</v>
      </c>
      <c r="I25" s="507">
        <f t="shared" si="0"/>
        <v>0</v>
      </c>
      <c r="J25" s="507">
        <f>'Valuation - DCF'!M30</f>
        <v>5000</v>
      </c>
      <c r="K25" s="507">
        <f>'Valuation - DCF'!N30</f>
        <v>10000</v>
      </c>
      <c r="L25" s="507">
        <f>'Valuation - DCF'!O30</f>
        <v>15000</v>
      </c>
      <c r="M25" s="507">
        <f>'Valuation - DCF'!P30</f>
        <v>20000</v>
      </c>
    </row>
    <row r="26" spans="1:13" x14ac:dyDescent="0.2">
      <c r="A26" s="1" t="s">
        <v>136</v>
      </c>
      <c r="B26" s="4"/>
      <c r="C26" s="4"/>
      <c r="D26" s="4"/>
      <c r="E26" s="4"/>
      <c r="F26" s="25"/>
      <c r="G26" s="471">
        <f>SUM(G24:G25)</f>
        <v>0</v>
      </c>
      <c r="H26" s="54">
        <f>SUM(H23:H25)</f>
        <v>0</v>
      </c>
      <c r="I26" s="54">
        <f t="shared" si="0"/>
        <v>0</v>
      </c>
      <c r="J26" s="54">
        <f>SUM(J23:J25)</f>
        <v>7139.4706666666661</v>
      </c>
      <c r="K26" s="54">
        <f>SUM(K23:K25)</f>
        <v>14450.098986666668</v>
      </c>
      <c r="L26" s="54">
        <f>SUM(L23:L25)</f>
        <v>21942.1544192</v>
      </c>
      <c r="M26" s="54">
        <f>SUM(M23:M25)</f>
        <v>29626.454127957335</v>
      </c>
    </row>
    <row r="27" spans="1:13" x14ac:dyDescent="0.2">
      <c r="B27" s="4"/>
      <c r="C27" s="4"/>
      <c r="D27" s="4"/>
      <c r="E27" s="4"/>
      <c r="F27" s="25"/>
      <c r="G27" s="470"/>
      <c r="H27" s="54"/>
      <c r="I27" s="18"/>
      <c r="J27" s="18"/>
      <c r="K27" s="18"/>
      <c r="L27" s="18"/>
      <c r="M27" s="18"/>
    </row>
    <row r="28" spans="1:13" x14ac:dyDescent="0.2">
      <c r="A28" s="8" t="s">
        <v>37</v>
      </c>
      <c r="B28" s="4">
        <f>+B12-B20</f>
        <v>5531</v>
      </c>
      <c r="C28" s="4">
        <f>+C12-C20</f>
        <v>-4919</v>
      </c>
      <c r="D28" s="4">
        <f>+D12-D20</f>
        <v>5525</v>
      </c>
      <c r="E28" s="4">
        <f>+E12-E20</f>
        <v>13009</v>
      </c>
      <c r="F28" s="54">
        <f>+F12-F20</f>
        <v>25131</v>
      </c>
      <c r="G28" s="471">
        <f t="shared" ref="G28:M28" ca="1" si="4">+G12-G20+G26</f>
        <v>11822.636605751235</v>
      </c>
      <c r="H28" s="54">
        <f t="shared" ca="1" si="4"/>
        <v>8154.3147239616374</v>
      </c>
      <c r="I28" s="18">
        <f t="shared" ca="1" si="0"/>
        <v>19976.951329712872</v>
      </c>
      <c r="J28" s="18">
        <f t="shared" ca="1" si="4"/>
        <v>25867.417981256651</v>
      </c>
      <c r="K28" s="18">
        <f t="shared" ca="1" si="4"/>
        <v>34439.987549256548</v>
      </c>
      <c r="L28" s="18">
        <f t="shared" ca="1" si="4"/>
        <v>44495.706466376752</v>
      </c>
      <c r="M28" s="18">
        <f t="shared" ca="1" si="4"/>
        <v>54667.682865771218</v>
      </c>
    </row>
    <row r="29" spans="1:13" x14ac:dyDescent="0.2">
      <c r="B29" s="4"/>
      <c r="C29" s="4"/>
      <c r="D29" s="4"/>
      <c r="E29" s="4"/>
      <c r="F29" s="25"/>
      <c r="G29" s="470"/>
      <c r="H29" s="54"/>
      <c r="I29" s="1"/>
    </row>
    <row r="30" spans="1:13" x14ac:dyDescent="0.2">
      <c r="A30" s="2" t="s">
        <v>38</v>
      </c>
      <c r="B30" s="4"/>
      <c r="C30" s="4"/>
      <c r="D30" s="4"/>
      <c r="E30" s="4"/>
      <c r="F30" s="449"/>
      <c r="G30" s="472"/>
      <c r="H30" s="25"/>
      <c r="I30" s="1"/>
    </row>
    <row r="31" spans="1:13" x14ac:dyDescent="0.2">
      <c r="A31" s="1" t="s">
        <v>13</v>
      </c>
      <c r="B31" s="4">
        <v>3087</v>
      </c>
      <c r="C31" s="4">
        <v>2696</v>
      </c>
      <c r="D31" s="4">
        <v>690</v>
      </c>
      <c r="E31" s="4">
        <v>2321</v>
      </c>
      <c r="F31" s="54">
        <v>2403</v>
      </c>
      <c r="G31" s="471">
        <f t="shared" ref="G31:M31" ca="1" si="5">+G33-G32</f>
        <v>2775.3619472489081</v>
      </c>
      <c r="H31" s="54">
        <f t="shared" ca="1" si="5"/>
        <v>1021.8090552345946</v>
      </c>
      <c r="I31" s="54">
        <f t="shared" ca="1" si="5"/>
        <v>3797.1710024835024</v>
      </c>
      <c r="J31" s="54">
        <f t="shared" ca="1" si="5"/>
        <v>2514.8801699880969</v>
      </c>
      <c r="K31" s="54">
        <f t="shared" ca="1" si="5"/>
        <v>7437.6649916672532</v>
      </c>
      <c r="L31" s="54">
        <f t="shared" ca="1" si="5"/>
        <v>12331.970759953983</v>
      </c>
      <c r="M31" s="54">
        <f t="shared" ca="1" si="5"/>
        <v>16872.638092615845</v>
      </c>
    </row>
    <row r="32" spans="1:13" ht="15" x14ac:dyDescent="0.35">
      <c r="A32" s="1" t="s">
        <v>39</v>
      </c>
      <c r="B32" s="507">
        <v>-1040</v>
      </c>
      <c r="C32" s="507">
        <v>-31672</v>
      </c>
      <c r="D32" s="507">
        <v>-190</v>
      </c>
      <c r="E32" s="507">
        <v>-885</v>
      </c>
      <c r="F32" s="507">
        <v>0</v>
      </c>
      <c r="G32" s="511">
        <f>'Cash Flow '!G11</f>
        <v>1362.560864764024</v>
      </c>
      <c r="H32" s="507">
        <f ca="1">'Cash Flow '!H11</f>
        <v>1832.2010981519782</v>
      </c>
      <c r="I32" s="507">
        <f t="shared" ca="1" si="0"/>
        <v>3194.7619629160022</v>
      </c>
      <c r="J32" s="507">
        <f ca="1">'Cash Flow '!J11</f>
        <v>6538.7161234517298</v>
      </c>
      <c r="K32" s="507">
        <f ca="1">'Cash Flow '!K11</f>
        <v>4616.3306505725386</v>
      </c>
      <c r="L32" s="507">
        <f ca="1">'Cash Flow '!L11</f>
        <v>3241.5265032778789</v>
      </c>
      <c r="M32" s="507">
        <f ca="1">'Cash Flow '!M11</f>
        <v>2261.0509104040812</v>
      </c>
    </row>
    <row r="33" spans="1:256" x14ac:dyDescent="0.2">
      <c r="A33" s="1" t="s">
        <v>40</v>
      </c>
      <c r="B33" s="4">
        <f>+B31+B32</f>
        <v>2047</v>
      </c>
      <c r="C33" s="4">
        <f>+C31+C32</f>
        <v>-28976</v>
      </c>
      <c r="D33" s="4">
        <f>+D31+D32</f>
        <v>500</v>
      </c>
      <c r="E33" s="4">
        <f>+E31+E32</f>
        <v>1436</v>
      </c>
      <c r="F33" s="54">
        <f>+F31+F32</f>
        <v>2403</v>
      </c>
      <c r="G33" s="54">
        <f ca="1">G28*Assumptions!$B$8</f>
        <v>4137.9228120129319</v>
      </c>
      <c r="H33" s="54">
        <f ca="1">H28*Assumptions!$B$8</f>
        <v>2854.0101533865727</v>
      </c>
      <c r="I33" s="54">
        <f t="shared" ca="1" si="0"/>
        <v>6991.9329653995046</v>
      </c>
      <c r="J33" s="54">
        <f ca="1">J28*Assumptions!$B$8</f>
        <v>9053.5962934398267</v>
      </c>
      <c r="K33" s="54">
        <f ca="1">K28*Assumptions!$B$8</f>
        <v>12053.995642239792</v>
      </c>
      <c r="L33" s="54">
        <f ca="1">L28*Assumptions!$B$8</f>
        <v>15573.497263231862</v>
      </c>
      <c r="M33" s="54">
        <f ca="1">M28*Assumptions!$B$8</f>
        <v>19133.689003019925</v>
      </c>
    </row>
    <row r="34" spans="1:256" ht="15" x14ac:dyDescent="0.35">
      <c r="B34" s="5"/>
      <c r="C34" s="5"/>
      <c r="D34" s="5"/>
      <c r="E34" s="5"/>
      <c r="F34" s="25"/>
      <c r="G34" s="472"/>
      <c r="H34" s="25"/>
      <c r="I34" s="1"/>
    </row>
    <row r="35" spans="1:256" x14ac:dyDescent="0.2">
      <c r="A35" s="2" t="s">
        <v>41</v>
      </c>
      <c r="B35" s="6">
        <f t="shared" ref="B35:M35" si="6">+B28-B33</f>
        <v>3484</v>
      </c>
      <c r="C35" s="6">
        <f t="shared" si="6"/>
        <v>24057</v>
      </c>
      <c r="D35" s="6">
        <f t="shared" si="6"/>
        <v>5025</v>
      </c>
      <c r="E35" s="6">
        <f t="shared" si="6"/>
        <v>11573</v>
      </c>
      <c r="F35" s="55">
        <f t="shared" si="6"/>
        <v>22728</v>
      </c>
      <c r="G35" s="473">
        <f t="shared" ca="1" si="6"/>
        <v>7684.7137937383031</v>
      </c>
      <c r="H35" s="55">
        <f t="shared" ca="1" si="6"/>
        <v>5300.3045705750646</v>
      </c>
      <c r="I35" s="51">
        <f t="shared" ca="1" si="0"/>
        <v>12985.018364313368</v>
      </c>
      <c r="J35" s="51">
        <f t="shared" ca="1" si="6"/>
        <v>16813.821687816824</v>
      </c>
      <c r="K35" s="51">
        <f t="shared" ca="1" si="6"/>
        <v>22385.991907016756</v>
      </c>
      <c r="L35" s="51">
        <f t="shared" ca="1" si="6"/>
        <v>28922.209203144892</v>
      </c>
      <c r="M35" s="51">
        <f t="shared" ca="1" si="6"/>
        <v>35533.993862751289</v>
      </c>
    </row>
    <row r="36" spans="1:256" ht="15" x14ac:dyDescent="0.35">
      <c r="A36" s="2"/>
      <c r="B36" s="6"/>
      <c r="C36" s="6"/>
      <c r="D36" s="6"/>
      <c r="E36" s="6"/>
      <c r="F36" s="25"/>
      <c r="G36" s="25"/>
      <c r="H36" s="25"/>
      <c r="L36" s="19"/>
      <c r="M36" s="5"/>
    </row>
    <row r="37" spans="1:256" ht="15" x14ac:dyDescent="0.35">
      <c r="A37" s="583" t="s">
        <v>578</v>
      </c>
      <c r="B37" s="6"/>
      <c r="C37" s="6"/>
      <c r="D37" s="6"/>
      <c r="E37" s="6"/>
      <c r="F37" s="25"/>
      <c r="G37" s="25"/>
      <c r="H37" s="25"/>
      <c r="L37" s="19"/>
      <c r="M37" s="5"/>
    </row>
    <row r="38" spans="1:256" ht="15" x14ac:dyDescent="0.35">
      <c r="A38" s="583"/>
      <c r="B38" s="6"/>
      <c r="C38" s="6"/>
      <c r="D38" s="6"/>
      <c r="E38" s="6"/>
      <c r="F38" s="25"/>
      <c r="G38" s="25"/>
      <c r="H38" s="25"/>
      <c r="L38" s="19"/>
      <c r="M38" s="5"/>
    </row>
    <row r="39" spans="1:256" x14ac:dyDescent="0.2">
      <c r="A39" s="2" t="s">
        <v>107</v>
      </c>
      <c r="B39" s="4">
        <f>B28+B19+B16</f>
        <v>10303</v>
      </c>
      <c r="C39" s="4">
        <f t="shared" ref="C39:M39" si="7">C28+C19+C16</f>
        <v>2785</v>
      </c>
      <c r="D39" s="4">
        <f t="shared" si="7"/>
        <v>14165</v>
      </c>
      <c r="E39" s="4">
        <f t="shared" si="7"/>
        <v>20415</v>
      </c>
      <c r="F39" s="4">
        <f t="shared" si="7"/>
        <v>36409</v>
      </c>
      <c r="G39" s="4">
        <f t="shared" ca="1" si="7"/>
        <v>19253.14333333345</v>
      </c>
      <c r="H39" s="4">
        <f t="shared" ca="1" si="7"/>
        <v>16764.354666666743</v>
      </c>
      <c r="I39" s="4">
        <f t="shared" ca="1" si="7"/>
        <v>36017.498000000189</v>
      </c>
      <c r="J39" s="4">
        <f t="shared" ca="1" si="7"/>
        <v>43104.164533333525</v>
      </c>
      <c r="K39" s="4">
        <f t="shared" ca="1" si="7"/>
        <v>51693.400768000087</v>
      </c>
      <c r="L39" s="4">
        <f t="shared" ca="1" si="7"/>
        <v>61765.786351786963</v>
      </c>
      <c r="M39" s="4">
        <f t="shared" ca="1" si="7"/>
        <v>71954.429417848092</v>
      </c>
    </row>
    <row r="40" spans="1:256" ht="15" x14ac:dyDescent="0.35">
      <c r="A40" s="583" t="s">
        <v>989</v>
      </c>
      <c r="B40" s="6"/>
      <c r="C40" s="6"/>
      <c r="D40" s="6"/>
      <c r="E40" s="6"/>
      <c r="F40" s="25"/>
      <c r="G40" s="25"/>
      <c r="H40" s="25"/>
      <c r="L40" s="19"/>
      <c r="M40" s="5"/>
    </row>
    <row r="41" spans="1:256" ht="15" x14ac:dyDescent="0.35">
      <c r="A41" s="583"/>
      <c r="B41" s="6"/>
      <c r="C41" s="6"/>
      <c r="D41" s="6"/>
      <c r="E41" s="6"/>
      <c r="F41" s="25"/>
      <c r="G41" s="25"/>
      <c r="H41" s="25"/>
      <c r="L41" s="19"/>
      <c r="M41" s="5"/>
    </row>
    <row r="42" spans="1:256" x14ac:dyDescent="0.2">
      <c r="A42" s="318"/>
      <c r="B42" s="318"/>
      <c r="C42" s="318"/>
      <c r="D42" s="318"/>
      <c r="E42" s="318"/>
      <c r="F42" s="318"/>
      <c r="G42" s="318"/>
      <c r="H42" s="318"/>
      <c r="I42" s="318"/>
      <c r="J42" s="318"/>
      <c r="K42" s="318"/>
      <c r="L42" s="318"/>
      <c r="M42" s="318"/>
      <c r="N42" s="318"/>
      <c r="O42" s="318"/>
      <c r="P42" s="318"/>
      <c r="Q42" s="318"/>
      <c r="R42" s="318"/>
      <c r="S42" s="318"/>
      <c r="T42" s="318"/>
      <c r="U42" s="318"/>
      <c r="V42" s="318"/>
      <c r="W42" s="318"/>
      <c r="X42" s="318"/>
      <c r="Y42" s="318"/>
      <c r="Z42" s="318"/>
      <c r="AA42" s="318"/>
      <c r="AB42" s="318"/>
      <c r="AC42" s="318"/>
      <c r="AD42" s="318"/>
      <c r="AE42" s="318"/>
      <c r="AF42" s="318"/>
      <c r="AG42" s="318"/>
      <c r="AH42" s="318"/>
      <c r="AI42" s="318"/>
      <c r="AJ42" s="318"/>
      <c r="AK42" s="318"/>
      <c r="AL42" s="318"/>
      <c r="AM42" s="318"/>
      <c r="AN42" s="318"/>
      <c r="AO42" s="318"/>
      <c r="AP42" s="318"/>
      <c r="AQ42" s="318"/>
      <c r="AR42" s="318"/>
      <c r="AS42" s="318"/>
      <c r="AT42" s="318"/>
      <c r="AU42" s="318"/>
      <c r="AV42" s="318"/>
      <c r="AW42" s="318"/>
      <c r="AX42" s="318"/>
      <c r="AY42" s="318"/>
      <c r="AZ42" s="318"/>
      <c r="BA42" s="318"/>
      <c r="BB42" s="318"/>
      <c r="BC42" s="318"/>
      <c r="BD42" s="318"/>
      <c r="BE42" s="318"/>
      <c r="BF42" s="318"/>
      <c r="BG42" s="318"/>
      <c r="BH42" s="318"/>
      <c r="BI42" s="318"/>
      <c r="BJ42" s="318"/>
      <c r="BK42" s="318"/>
      <c r="BL42" s="318"/>
      <c r="BM42" s="318"/>
      <c r="BN42" s="318"/>
      <c r="BO42" s="318"/>
      <c r="BP42" s="318"/>
      <c r="BQ42" s="318"/>
      <c r="BR42" s="318"/>
      <c r="BS42" s="318"/>
      <c r="BT42" s="318"/>
      <c r="BU42" s="318"/>
      <c r="BV42" s="318"/>
      <c r="BW42" s="318"/>
      <c r="BX42" s="318"/>
      <c r="BY42" s="318"/>
      <c r="BZ42" s="318"/>
      <c r="CA42" s="318"/>
      <c r="CB42" s="318"/>
      <c r="CC42" s="318"/>
      <c r="CD42" s="318"/>
      <c r="CE42" s="318"/>
      <c r="CF42" s="318"/>
      <c r="CG42" s="318"/>
      <c r="CH42" s="318"/>
      <c r="CI42" s="318"/>
      <c r="CJ42" s="318"/>
      <c r="CK42" s="318"/>
      <c r="CL42" s="318"/>
      <c r="CM42" s="318"/>
      <c r="CN42" s="318"/>
      <c r="CO42" s="318"/>
      <c r="CP42" s="318"/>
      <c r="CQ42" s="318"/>
      <c r="CR42" s="318"/>
      <c r="CS42" s="318"/>
      <c r="CT42" s="318"/>
      <c r="CU42" s="318"/>
      <c r="CV42" s="318"/>
      <c r="CW42" s="318"/>
      <c r="CX42" s="318"/>
      <c r="CY42" s="318"/>
      <c r="CZ42" s="318"/>
      <c r="DA42" s="318"/>
      <c r="DB42" s="318"/>
      <c r="DC42" s="318"/>
      <c r="DD42" s="318"/>
      <c r="DE42" s="318"/>
      <c r="DF42" s="318"/>
      <c r="DG42" s="318"/>
      <c r="DH42" s="318"/>
      <c r="DI42" s="318"/>
      <c r="DJ42" s="318"/>
      <c r="DK42" s="318"/>
      <c r="DL42" s="318"/>
      <c r="DM42" s="318"/>
      <c r="DN42" s="318"/>
      <c r="DO42" s="318"/>
      <c r="DP42" s="318"/>
      <c r="DQ42" s="318"/>
      <c r="DR42" s="318"/>
      <c r="DS42" s="318"/>
      <c r="DT42" s="318"/>
      <c r="DU42" s="318"/>
      <c r="DV42" s="318"/>
      <c r="DW42" s="318"/>
      <c r="DX42" s="318"/>
      <c r="DY42" s="318"/>
      <c r="DZ42" s="318"/>
      <c r="EA42" s="318"/>
      <c r="EB42" s="318"/>
      <c r="EC42" s="318"/>
      <c r="ED42" s="318"/>
      <c r="EE42" s="318"/>
      <c r="EF42" s="318"/>
      <c r="EG42" s="318"/>
      <c r="EH42" s="318"/>
      <c r="EI42" s="318"/>
      <c r="EJ42" s="318"/>
      <c r="EK42" s="318"/>
      <c r="EL42" s="318"/>
      <c r="EM42" s="318"/>
      <c r="EN42" s="318"/>
      <c r="EO42" s="318"/>
      <c r="EP42" s="318"/>
      <c r="EQ42" s="318"/>
      <c r="ER42" s="318"/>
      <c r="ES42" s="318"/>
      <c r="ET42" s="318"/>
      <c r="EU42" s="318"/>
      <c r="EV42" s="318"/>
      <c r="EW42" s="318"/>
      <c r="EX42" s="318"/>
      <c r="EY42" s="318"/>
      <c r="EZ42" s="318"/>
      <c r="FA42" s="318"/>
      <c r="FB42" s="318"/>
      <c r="FC42" s="318"/>
      <c r="FD42" s="318"/>
      <c r="FE42" s="318"/>
      <c r="FF42" s="318"/>
      <c r="FG42" s="318"/>
      <c r="FH42" s="318"/>
      <c r="FI42" s="318"/>
      <c r="FJ42" s="318"/>
      <c r="FK42" s="318"/>
      <c r="FL42" s="318"/>
      <c r="FM42" s="318"/>
      <c r="FN42" s="318"/>
      <c r="FO42" s="318"/>
      <c r="FP42" s="318"/>
      <c r="FQ42" s="318"/>
      <c r="FR42" s="318"/>
      <c r="FS42" s="318"/>
      <c r="FT42" s="318"/>
      <c r="FU42" s="318"/>
      <c r="FV42" s="318"/>
      <c r="FW42" s="318"/>
      <c r="FX42" s="318"/>
      <c r="FY42" s="318"/>
      <c r="FZ42" s="318"/>
      <c r="GA42" s="318"/>
      <c r="GB42" s="318"/>
      <c r="GC42" s="318"/>
      <c r="GD42" s="318"/>
      <c r="GE42" s="318"/>
      <c r="GF42" s="318"/>
      <c r="GG42" s="318"/>
      <c r="GH42" s="318"/>
      <c r="GI42" s="318"/>
      <c r="GJ42" s="318"/>
      <c r="GK42" s="318"/>
      <c r="GL42" s="318"/>
      <c r="GM42" s="318"/>
      <c r="GN42" s="318"/>
      <c r="GO42" s="318"/>
      <c r="GP42" s="318"/>
      <c r="GQ42" s="318"/>
      <c r="GR42" s="318"/>
      <c r="GS42" s="318"/>
      <c r="GT42" s="318"/>
      <c r="GU42" s="318"/>
      <c r="GV42" s="318"/>
      <c r="GW42" s="318"/>
      <c r="GX42" s="318"/>
      <c r="GY42" s="318"/>
      <c r="GZ42" s="318"/>
      <c r="HA42" s="318"/>
      <c r="HB42" s="318"/>
      <c r="HC42" s="318"/>
      <c r="HD42" s="318"/>
      <c r="HE42" s="318"/>
      <c r="HF42" s="318"/>
      <c r="HG42" s="318"/>
      <c r="HH42" s="318"/>
      <c r="HI42" s="318"/>
      <c r="HJ42" s="318"/>
      <c r="HK42" s="318"/>
      <c r="HL42" s="318"/>
      <c r="HM42" s="318"/>
      <c r="HN42" s="318"/>
      <c r="HO42" s="318"/>
      <c r="HP42" s="318"/>
      <c r="HQ42" s="318"/>
      <c r="HR42" s="318"/>
      <c r="HS42" s="318"/>
      <c r="HT42" s="318"/>
      <c r="HU42" s="318"/>
      <c r="HV42" s="318"/>
      <c r="HW42" s="318"/>
      <c r="HX42" s="318"/>
      <c r="HY42" s="318"/>
      <c r="HZ42" s="318"/>
      <c r="IA42" s="318"/>
      <c r="IB42" s="318"/>
      <c r="IC42" s="318"/>
      <c r="ID42" s="318"/>
      <c r="IE42" s="318"/>
      <c r="IF42" s="318"/>
      <c r="IG42" s="318"/>
      <c r="IH42" s="318"/>
      <c r="II42" s="318"/>
      <c r="IJ42" s="318"/>
      <c r="IK42" s="318"/>
      <c r="IL42" s="318"/>
      <c r="IM42" s="318"/>
      <c r="IN42" s="318"/>
      <c r="IO42" s="318"/>
      <c r="IP42" s="318"/>
      <c r="IQ42" s="318"/>
      <c r="IR42" s="318"/>
      <c r="IS42" s="318"/>
      <c r="IT42" s="318"/>
      <c r="IU42" s="318"/>
      <c r="IV42" s="318"/>
    </row>
    <row r="43" spans="1:256" x14ac:dyDescent="0.2">
      <c r="A43" s="1" t="s">
        <v>365</v>
      </c>
      <c r="B43" s="4">
        <f>+-6527+8</f>
        <v>-6519</v>
      </c>
      <c r="C43" s="4">
        <v>12004</v>
      </c>
      <c r="D43" s="4">
        <v>-1123</v>
      </c>
      <c r="E43" s="4">
        <v>2292</v>
      </c>
      <c r="F43" s="23">
        <v>-330</v>
      </c>
      <c r="G43" s="23"/>
      <c r="L43" s="4"/>
    </row>
    <row r="44" spans="1:256" ht="15" x14ac:dyDescent="0.35">
      <c r="A44" s="1" t="s">
        <v>364</v>
      </c>
      <c r="B44" s="5">
        <v>6504</v>
      </c>
      <c r="C44" s="5">
        <v>3206</v>
      </c>
      <c r="D44" s="5">
        <v>3068</v>
      </c>
      <c r="E44" s="5">
        <v>5248</v>
      </c>
      <c r="F44" s="5">
        <v>12320</v>
      </c>
      <c r="G44" s="5"/>
      <c r="J44" s="18"/>
      <c r="L44" s="4"/>
      <c r="Q44" s="109"/>
    </row>
    <row r="45" spans="1:256" x14ac:dyDescent="0.2">
      <c r="A45" s="2" t="s">
        <v>222</v>
      </c>
      <c r="B45" s="4">
        <f>+B35+B43+B44</f>
        <v>3469</v>
      </c>
      <c r="C45" s="4">
        <f>+C35+C43+C44</f>
        <v>39267</v>
      </c>
      <c r="D45" s="4">
        <f>+D35+D43+D44</f>
        <v>6970</v>
      </c>
      <c r="E45" s="4">
        <f>+E35+E43+E44</f>
        <v>19113</v>
      </c>
      <c r="F45" s="4">
        <f>+F35+F43+F44</f>
        <v>34718</v>
      </c>
      <c r="G45" s="4"/>
      <c r="J45" s="18"/>
      <c r="L45" s="4"/>
    </row>
    <row r="46" spans="1:256" x14ac:dyDescent="0.2">
      <c r="A46" s="2" t="s">
        <v>223</v>
      </c>
      <c r="B46" s="4"/>
      <c r="C46" s="4">
        <f>+C82+C44</f>
        <v>5671</v>
      </c>
      <c r="D46" s="4">
        <f>+D82+D44</f>
        <v>15930</v>
      </c>
      <c r="E46" s="4">
        <f>+E82+E44</f>
        <v>25697</v>
      </c>
      <c r="F46" s="4">
        <f>+F82+F44</f>
        <v>48729</v>
      </c>
      <c r="G46" s="4"/>
      <c r="J46" s="18"/>
      <c r="L46" s="4"/>
      <c r="P46" s="18"/>
      <c r="Q46" s="18"/>
      <c r="R46" s="18"/>
    </row>
    <row r="47" spans="1:256" x14ac:dyDescent="0.2">
      <c r="B47" s="6"/>
      <c r="C47" s="6"/>
      <c r="D47" s="6"/>
      <c r="E47" s="6"/>
      <c r="F47" s="25"/>
      <c r="G47" s="25"/>
      <c r="J47" s="18"/>
      <c r="L47" s="4"/>
    </row>
    <row r="48" spans="1:256" x14ac:dyDescent="0.2">
      <c r="B48" s="6"/>
      <c r="C48" s="6"/>
      <c r="D48" s="6"/>
      <c r="E48" s="6"/>
      <c r="F48" s="25"/>
      <c r="G48" s="25"/>
      <c r="J48" s="18"/>
      <c r="L48" s="4"/>
    </row>
    <row r="49" spans="1:13" x14ac:dyDescent="0.2">
      <c r="B49" s="4"/>
      <c r="C49" s="4"/>
      <c r="D49" s="4"/>
      <c r="E49" s="4"/>
      <c r="F49" s="25"/>
      <c r="G49" s="25"/>
      <c r="H49" s="267"/>
      <c r="I49" s="697"/>
      <c r="L49" s="4"/>
    </row>
    <row r="50" spans="1:13" x14ac:dyDescent="0.2">
      <c r="A50" s="1" t="s">
        <v>93</v>
      </c>
      <c r="B50" s="4">
        <f t="shared" ref="B50:M50" si="8">+B95</f>
        <v>5622.0344999998888</v>
      </c>
      <c r="C50" s="4">
        <f t="shared" si="8"/>
        <v>-3340.8939999997747</v>
      </c>
      <c r="D50" s="4">
        <f t="shared" si="8"/>
        <v>9554.0294999999351</v>
      </c>
      <c r="E50" s="4">
        <f t="shared" si="8"/>
        <v>14895.535249999917</v>
      </c>
      <c r="F50" s="4">
        <f t="shared" si="8"/>
        <v>31213.7</v>
      </c>
      <c r="G50" s="59">
        <f t="shared" ca="1" si="8"/>
        <v>14343.630136084519</v>
      </c>
      <c r="H50" s="59">
        <f t="shared" ca="1" si="8"/>
        <v>11529.75566872701</v>
      </c>
      <c r="I50" s="23"/>
      <c r="J50" s="23">
        <f t="shared" ca="1" si="8"/>
        <v>32147.037811268532</v>
      </c>
      <c r="K50" s="23">
        <f t="shared" ca="1" si="8"/>
        <v>35796.822557589279</v>
      </c>
      <c r="L50" s="23">
        <f t="shared" ca="1" si="8"/>
        <v>40958.235706422551</v>
      </c>
      <c r="M50" s="23">
        <f t="shared" ca="1" si="8"/>
        <v>46589.544773154921</v>
      </c>
    </row>
    <row r="51" spans="1:13" x14ac:dyDescent="0.2">
      <c r="A51" s="36" t="s">
        <v>94</v>
      </c>
      <c r="B51" s="37">
        <f>+'Balance Sheet'!B42</f>
        <v>257683</v>
      </c>
      <c r="C51" s="37">
        <f>+'Balance Sheet'!C42</f>
        <v>171015</v>
      </c>
      <c r="D51" s="37">
        <f>+'Balance Sheet'!D42</f>
        <v>197419</v>
      </c>
      <c r="E51" s="37">
        <f>+'Balance Sheet'!E42</f>
        <v>220737</v>
      </c>
      <c r="F51" s="37">
        <f>+'Balance Sheet'!F42</f>
        <v>310436</v>
      </c>
      <c r="G51" s="61">
        <f ca="1">+'Balance Sheet'!I42</f>
        <v>409253.76725084853</v>
      </c>
      <c r="H51" s="61">
        <f ca="1">+'Balance Sheet'!J42</f>
        <v>358899.74240117735</v>
      </c>
      <c r="I51" s="41"/>
      <c r="J51" s="41">
        <f ca="1">+'Balance Sheet'!K42</f>
        <v>331138.24875362834</v>
      </c>
      <c r="K51" s="41">
        <f ca="1">+'Balance Sheet'!L42</f>
        <v>327612.597872869</v>
      </c>
      <c r="L51" s="41">
        <f ca="1">+'Balance Sheet'!M42</f>
        <v>330216.43497011071</v>
      </c>
      <c r="M51" s="41">
        <f ca="1">+'Balance Sheet'!N42</f>
        <v>332197.82755503035</v>
      </c>
    </row>
    <row r="52" spans="1:13" x14ac:dyDescent="0.2">
      <c r="A52" s="36" t="s">
        <v>81</v>
      </c>
      <c r="B52" s="38">
        <f t="shared" ref="B52:M52" si="9">+B50/B51</f>
        <v>2.1817638338578364E-2</v>
      </c>
      <c r="C52" s="39">
        <f t="shared" si="9"/>
        <v>-1.9535678156885505E-2</v>
      </c>
      <c r="D52" s="39">
        <f t="shared" si="9"/>
        <v>4.8394680856452189E-2</v>
      </c>
      <c r="E52" s="39">
        <f t="shared" si="9"/>
        <v>6.7480917336014884E-2</v>
      </c>
      <c r="F52" s="39">
        <f t="shared" si="9"/>
        <v>0.10054793902769009</v>
      </c>
      <c r="G52" s="266">
        <f t="shared" ca="1" si="9"/>
        <v>3.5048254369012849E-2</v>
      </c>
      <c r="H52" s="266">
        <f t="shared" ca="1" si="9"/>
        <v>3.2125282653000832E-2</v>
      </c>
      <c r="I52" s="39"/>
      <c r="J52" s="39">
        <f t="shared" ca="1" si="9"/>
        <v>9.7080412583767678E-2</v>
      </c>
      <c r="K52" s="39">
        <f t="shared" ca="1" si="9"/>
        <v>0.10926570830917906</v>
      </c>
      <c r="L52" s="39">
        <f t="shared" ca="1" si="9"/>
        <v>0.12403451605953487</v>
      </c>
      <c r="M52" s="265">
        <f t="shared" ca="1" si="9"/>
        <v>0.14024638606475268</v>
      </c>
    </row>
    <row r="53" spans="1:13" x14ac:dyDescent="0.2">
      <c r="A53" s="36" t="s">
        <v>104</v>
      </c>
      <c r="B53" s="40">
        <v>0.1</v>
      </c>
      <c r="C53" s="40">
        <v>0.1</v>
      </c>
      <c r="D53" s="40">
        <v>0.1</v>
      </c>
      <c r="E53" s="40">
        <v>0.1</v>
      </c>
      <c r="F53" s="40">
        <f t="shared" ref="F53:M53" si="10">+E53</f>
        <v>0.1</v>
      </c>
      <c r="G53" s="60">
        <f>+E53</f>
        <v>0.1</v>
      </c>
      <c r="H53" s="60">
        <f>+F53</f>
        <v>0.1</v>
      </c>
      <c r="I53" s="40"/>
      <c r="J53" s="40">
        <f>+H53</f>
        <v>0.1</v>
      </c>
      <c r="K53" s="40">
        <f t="shared" si="10"/>
        <v>0.1</v>
      </c>
      <c r="L53" s="40">
        <f t="shared" si="10"/>
        <v>0.1</v>
      </c>
      <c r="M53" s="40">
        <f t="shared" si="10"/>
        <v>0.1</v>
      </c>
    </row>
    <row r="54" spans="1:13" x14ac:dyDescent="0.2">
      <c r="A54" s="36"/>
      <c r="B54" s="40"/>
      <c r="C54" s="40"/>
      <c r="D54" s="40"/>
      <c r="E54" s="40"/>
      <c r="F54" s="40"/>
      <c r="G54" s="40"/>
      <c r="H54" s="60"/>
      <c r="I54" s="40"/>
      <c r="J54" s="40"/>
      <c r="K54" s="40"/>
      <c r="L54" s="40"/>
      <c r="M54" s="40"/>
    </row>
    <row r="55" spans="1:13" x14ac:dyDescent="0.2">
      <c r="A55" s="36" t="s">
        <v>127</v>
      </c>
      <c r="B55" s="41">
        <f t="shared" ref="B55:H55" si="11">+B52*B51</f>
        <v>5622.0344999998888</v>
      </c>
      <c r="C55" s="41">
        <f t="shared" si="11"/>
        <v>-3340.8939999997747</v>
      </c>
      <c r="D55" s="41">
        <f t="shared" si="11"/>
        <v>9554.0294999999351</v>
      </c>
      <c r="E55" s="41">
        <f t="shared" si="11"/>
        <v>14895.535249999917</v>
      </c>
      <c r="F55" s="41">
        <f t="shared" si="11"/>
        <v>31213.7</v>
      </c>
      <c r="G55" s="41">
        <f ca="1">+G52*G51</f>
        <v>14343.630136084519</v>
      </c>
      <c r="H55" s="61">
        <f t="shared" ca="1" si="11"/>
        <v>11529.75566872701</v>
      </c>
      <c r="I55" s="41"/>
      <c r="J55" s="41">
        <f ca="1">+J52*J51</f>
        <v>32147.037811268532</v>
      </c>
      <c r="K55" s="41">
        <f ca="1">+K52*K51</f>
        <v>35796.822557589279</v>
      </c>
      <c r="L55" s="41">
        <f ca="1">+L52*L51</f>
        <v>40958.235706422551</v>
      </c>
      <c r="M55" s="41">
        <f ca="1">+M52*M51</f>
        <v>46589.544773154921</v>
      </c>
    </row>
    <row r="56" spans="1:13" ht="15" x14ac:dyDescent="0.35">
      <c r="A56" s="36" t="s">
        <v>122</v>
      </c>
      <c r="B56" s="42">
        <f t="shared" ref="B56:H56" si="12">+B53*B51</f>
        <v>25768.300000000003</v>
      </c>
      <c r="C56" s="42">
        <f t="shared" si="12"/>
        <v>17101.5</v>
      </c>
      <c r="D56" s="42">
        <f t="shared" si="12"/>
        <v>19741.900000000001</v>
      </c>
      <c r="E56" s="42">
        <f t="shared" si="12"/>
        <v>22073.7</v>
      </c>
      <c r="F56" s="42">
        <f t="shared" si="12"/>
        <v>31043.600000000002</v>
      </c>
      <c r="G56" s="42">
        <f ca="1">+G53*G51</f>
        <v>40925.376725084854</v>
      </c>
      <c r="H56" s="62">
        <f t="shared" ca="1" si="12"/>
        <v>35889.974240117735</v>
      </c>
      <c r="I56" s="42"/>
      <c r="J56" s="42">
        <f ca="1">+J53*J51</f>
        <v>33113.824875362836</v>
      </c>
      <c r="K56" s="42">
        <f ca="1">+K53*K51</f>
        <v>32761.259787286901</v>
      </c>
      <c r="L56" s="42">
        <f ca="1">+L53*L51</f>
        <v>33021.643497011071</v>
      </c>
      <c r="M56" s="42">
        <f ca="1">+M53*M51</f>
        <v>33219.782755503038</v>
      </c>
    </row>
    <row r="57" spans="1:13" x14ac:dyDescent="0.2">
      <c r="A57" s="36" t="s">
        <v>105</v>
      </c>
      <c r="B57" s="41">
        <f t="shared" ref="B57:H57" si="13">+B51*(B52-B53)</f>
        <v>-20146.265500000114</v>
      </c>
      <c r="C57" s="41">
        <f t="shared" si="13"/>
        <v>-20442.393999999775</v>
      </c>
      <c r="D57" s="41">
        <f t="shared" si="13"/>
        <v>-10187.870500000066</v>
      </c>
      <c r="E57" s="41">
        <f t="shared" si="13"/>
        <v>-7178.1647500000836</v>
      </c>
      <c r="F57" s="41">
        <f t="shared" si="13"/>
        <v>170.0999999999988</v>
      </c>
      <c r="G57" s="41">
        <f ca="1">+G51*(G52-G53)</f>
        <v>-26581.746589000337</v>
      </c>
      <c r="H57" s="61">
        <f t="shared" ca="1" si="13"/>
        <v>-24360.218571390731</v>
      </c>
      <c r="I57" s="41"/>
      <c r="J57" s="41">
        <f ca="1">+J51*(J52-J53)</f>
        <v>-966.78706409430356</v>
      </c>
      <c r="K57" s="41">
        <f ca="1">+K51*(K52-K53)</f>
        <v>3035.5627703023788</v>
      </c>
      <c r="L57" s="41">
        <f ca="1">+L51*(L52-L53)</f>
        <v>7936.5922094114776</v>
      </c>
      <c r="M57" s="41">
        <f ca="1">+M51*(M52-M53)</f>
        <v>13369.762017651885</v>
      </c>
    </row>
    <row r="58" spans="1:13" outlineLevel="1" x14ac:dyDescent="0.2">
      <c r="A58" s="36"/>
      <c r="B58" s="41"/>
      <c r="C58" s="41"/>
      <c r="D58" s="41"/>
      <c r="E58" s="41"/>
      <c r="F58" s="25"/>
      <c r="G58" s="25"/>
      <c r="L58" s="4"/>
    </row>
    <row r="59" spans="1:13" outlineLevel="1" x14ac:dyDescent="0.2">
      <c r="A59" s="36" t="s">
        <v>115</v>
      </c>
      <c r="B59" s="41">
        <f>+'Balance Sheet'!B27+'Balance Sheet'!B33</f>
        <v>128100</v>
      </c>
      <c r="C59" s="41">
        <f>+'Balance Sheet'!C27+'Balance Sheet'!C33</f>
        <v>48900</v>
      </c>
      <c r="D59" s="41">
        <f>+'Balance Sheet'!D27+'Balance Sheet'!D33</f>
        <v>80800</v>
      </c>
      <c r="E59" s="41">
        <f>+'Balance Sheet'!E27+'Balance Sheet'!E33</f>
        <v>103500</v>
      </c>
      <c r="F59" s="25"/>
      <c r="G59" s="25"/>
      <c r="L59" s="4"/>
    </row>
    <row r="60" spans="1:13" ht="15" outlineLevel="1" x14ac:dyDescent="0.35">
      <c r="A60" s="36" t="s">
        <v>123</v>
      </c>
      <c r="B60" s="42">
        <f>+'Balance Sheet'!B35+'Balance Sheet'!B37</f>
        <v>129583</v>
      </c>
      <c r="C60" s="42">
        <f>+'Balance Sheet'!C35+'Balance Sheet'!C37</f>
        <v>122115</v>
      </c>
      <c r="D60" s="42">
        <f>+'Balance Sheet'!D35+'Balance Sheet'!D37</f>
        <v>116619</v>
      </c>
      <c r="E60" s="42">
        <f>+'Balance Sheet'!E35+'Balance Sheet'!E37</f>
        <v>117237</v>
      </c>
      <c r="F60" s="25"/>
      <c r="G60" s="25"/>
      <c r="L60" s="4"/>
    </row>
    <row r="61" spans="1:13" outlineLevel="1" x14ac:dyDescent="0.2">
      <c r="A61" s="36" t="s">
        <v>131</v>
      </c>
      <c r="B61" s="41">
        <f>+B59+B60</f>
        <v>257683</v>
      </c>
      <c r="C61" s="41">
        <f>+C59+C60</f>
        <v>171015</v>
      </c>
      <c r="D61" s="41">
        <f>+D59+D60</f>
        <v>197419</v>
      </c>
      <c r="E61" s="41">
        <f>+E59+E60</f>
        <v>220737</v>
      </c>
      <c r="F61" s="25"/>
      <c r="G61" s="25"/>
      <c r="L61" s="4"/>
    </row>
    <row r="62" spans="1:13" outlineLevel="1" x14ac:dyDescent="0.2">
      <c r="A62" s="36"/>
      <c r="B62" s="41"/>
      <c r="C62" s="41"/>
      <c r="D62" s="41"/>
      <c r="E62" s="41"/>
      <c r="F62" s="25"/>
      <c r="G62" s="25"/>
      <c r="L62" s="4"/>
    </row>
    <row r="63" spans="1:13" outlineLevel="1" x14ac:dyDescent="0.2">
      <c r="A63" s="36" t="s">
        <v>124</v>
      </c>
      <c r="B63" s="43">
        <f>+B59/$B$61</f>
        <v>0.49712243337744438</v>
      </c>
      <c r="C63" s="43">
        <f>+C59/$C$61</f>
        <v>0.28593982983948779</v>
      </c>
      <c r="D63" s="43">
        <f>+D59/$D$61</f>
        <v>0.40928178138882276</v>
      </c>
      <c r="E63" s="43">
        <f>+E59/$E$61</f>
        <v>0.46888378477554737</v>
      </c>
      <c r="F63" s="25"/>
      <c r="G63" s="25"/>
      <c r="L63" s="4"/>
    </row>
    <row r="64" spans="1:13" outlineLevel="1" x14ac:dyDescent="0.2">
      <c r="A64" s="36" t="s">
        <v>125</v>
      </c>
      <c r="B64" s="44">
        <f>+B60/$B$61</f>
        <v>0.50287756662255567</v>
      </c>
      <c r="C64" s="44">
        <f>+C60/$C$61</f>
        <v>0.71406017016051226</v>
      </c>
      <c r="D64" s="44">
        <f>+D60/$D$61</f>
        <v>0.59071821861117724</v>
      </c>
      <c r="E64" s="44">
        <f>+E60/$E$61</f>
        <v>0.53111621522445263</v>
      </c>
      <c r="F64" s="25"/>
      <c r="G64" s="25"/>
      <c r="L64" s="4"/>
    </row>
    <row r="65" spans="1:12" outlineLevel="1" x14ac:dyDescent="0.2">
      <c r="A65" s="36" t="s">
        <v>129</v>
      </c>
      <c r="B65" s="43">
        <f>+B63+B64</f>
        <v>1</v>
      </c>
      <c r="C65" s="43">
        <f>+C63+C64</f>
        <v>1</v>
      </c>
      <c r="D65" s="43">
        <f>+D63+D64</f>
        <v>1</v>
      </c>
      <c r="E65" s="43">
        <f>+E63+E64</f>
        <v>1</v>
      </c>
      <c r="F65" s="25"/>
      <c r="G65" s="25"/>
      <c r="L65" s="4"/>
    </row>
    <row r="66" spans="1:12" outlineLevel="1" x14ac:dyDescent="0.2">
      <c r="A66" s="36"/>
      <c r="B66" s="41"/>
      <c r="C66" s="41"/>
      <c r="D66" s="41"/>
      <c r="E66" s="41"/>
      <c r="F66" s="25"/>
      <c r="G66" s="25"/>
      <c r="L66" s="4"/>
    </row>
    <row r="67" spans="1:12" outlineLevel="1" x14ac:dyDescent="0.2">
      <c r="A67" s="36" t="s">
        <v>127</v>
      </c>
      <c r="B67" s="41">
        <f>+B51*B52</f>
        <v>5622.0344999998888</v>
      </c>
      <c r="C67" s="41">
        <f>+C51*C52</f>
        <v>-3340.8939999997747</v>
      </c>
      <c r="D67" s="41">
        <f>+D51*D52</f>
        <v>9554.0294999999351</v>
      </c>
      <c r="E67" s="41">
        <f>+E51*E52</f>
        <v>14895.535249999917</v>
      </c>
      <c r="F67" s="25"/>
      <c r="G67" s="25"/>
      <c r="L67" s="4"/>
    </row>
    <row r="68" spans="1:12" ht="15" outlineLevel="1" x14ac:dyDescent="0.35">
      <c r="A68" s="36" t="s">
        <v>132</v>
      </c>
      <c r="B68" s="42" t="e">
        <f>+B19*(1-#REF!)</f>
        <v>#REF!</v>
      </c>
      <c r="C68" s="42" t="e">
        <f>+C19*(1-#REF!)</f>
        <v>#REF!</v>
      </c>
      <c r="D68" s="42" t="e">
        <f>+D19*(1-#REF!)</f>
        <v>#REF!</v>
      </c>
      <c r="E68" s="42" t="e">
        <f>+E19*(1-#REF!)</f>
        <v>#REF!</v>
      </c>
      <c r="F68" s="25"/>
      <c r="G68" s="25"/>
      <c r="L68" s="4"/>
    </row>
    <row r="69" spans="1:12" outlineLevel="1" x14ac:dyDescent="0.2">
      <c r="A69" s="36" t="s">
        <v>126</v>
      </c>
      <c r="B69" s="41" t="e">
        <f>+B67-B68</f>
        <v>#REF!</v>
      </c>
      <c r="C69" s="41" t="e">
        <f>+C67-C68</f>
        <v>#REF!</v>
      </c>
      <c r="D69" s="41" t="e">
        <f>+D67-D68</f>
        <v>#REF!</v>
      </c>
      <c r="E69" s="41" t="e">
        <f>+E67-E68</f>
        <v>#REF!</v>
      </c>
      <c r="F69" s="25"/>
      <c r="G69" s="25"/>
      <c r="L69" s="4"/>
    </row>
    <row r="70" spans="1:12" ht="15" outlineLevel="1" x14ac:dyDescent="0.35">
      <c r="A70" s="36" t="s">
        <v>128</v>
      </c>
      <c r="B70" s="45" t="e">
        <f>+#REF!*B60</f>
        <v>#REF!</v>
      </c>
      <c r="C70" s="45" t="e">
        <f>+#REF!*C60</f>
        <v>#REF!</v>
      </c>
      <c r="D70" s="45" t="e">
        <f>+#REF!*D60</f>
        <v>#REF!</v>
      </c>
      <c r="E70" s="45" t="e">
        <f>+#REF!*E60</f>
        <v>#REF!</v>
      </c>
      <c r="F70" s="25"/>
      <c r="G70" s="25"/>
      <c r="L70" s="4"/>
    </row>
    <row r="71" spans="1:12" outlineLevel="1" x14ac:dyDescent="0.2">
      <c r="A71" s="36" t="s">
        <v>130</v>
      </c>
      <c r="B71" s="41" t="e">
        <f>+B69-B70</f>
        <v>#REF!</v>
      </c>
      <c r="C71" s="41" t="e">
        <f>+C69-C70</f>
        <v>#REF!</v>
      </c>
      <c r="D71" s="41" t="e">
        <f>+D69-D70</f>
        <v>#REF!</v>
      </c>
      <c r="E71" s="41" t="e">
        <f>+E69-E70</f>
        <v>#REF!</v>
      </c>
      <c r="F71" s="25"/>
      <c r="G71" s="25"/>
      <c r="L71" s="4"/>
    </row>
    <row r="72" spans="1:12" outlineLevel="1" x14ac:dyDescent="0.2">
      <c r="A72" s="36"/>
      <c r="B72" s="41"/>
      <c r="C72" s="41"/>
      <c r="D72" s="41"/>
      <c r="E72" s="41"/>
      <c r="F72" s="25"/>
      <c r="G72" s="25"/>
      <c r="L72" s="4"/>
    </row>
    <row r="73" spans="1:12" outlineLevel="1" x14ac:dyDescent="0.2">
      <c r="A73" s="36" t="s">
        <v>133</v>
      </c>
      <c r="B73" s="40" t="e">
        <f>+B69/B60</f>
        <v>#REF!</v>
      </c>
      <c r="C73" s="40" t="e">
        <f>+C69/C60</f>
        <v>#REF!</v>
      </c>
      <c r="D73" s="40" t="e">
        <f>+D69/D60</f>
        <v>#REF!</v>
      </c>
      <c r="E73" s="40" t="e">
        <f>+E69/E60</f>
        <v>#REF!</v>
      </c>
      <c r="F73" s="25"/>
      <c r="G73" s="25"/>
      <c r="L73" s="4"/>
    </row>
    <row r="74" spans="1:12" outlineLevel="1" x14ac:dyDescent="0.2">
      <c r="A74" s="36"/>
      <c r="B74" s="41"/>
      <c r="C74" s="41"/>
      <c r="D74" s="41"/>
      <c r="E74" s="41"/>
      <c r="F74" s="25"/>
      <c r="G74" s="25"/>
      <c r="L74" s="4"/>
    </row>
    <row r="75" spans="1:12" s="34" customFormat="1" outlineLevel="1" x14ac:dyDescent="0.2">
      <c r="B75" s="47"/>
      <c r="C75" s="47"/>
      <c r="D75" s="47"/>
      <c r="E75" s="47"/>
      <c r="F75" s="56"/>
      <c r="G75" s="56"/>
      <c r="H75" s="63"/>
      <c r="I75" s="56"/>
      <c r="L75" s="35"/>
    </row>
    <row r="76" spans="1:12" x14ac:dyDescent="0.2">
      <c r="A76" s="1" t="s">
        <v>117</v>
      </c>
      <c r="B76" s="23">
        <f>+B115</f>
        <v>7277.0344999998888</v>
      </c>
      <c r="C76" s="23">
        <f>+C115</f>
        <v>11238.106000000225</v>
      </c>
      <c r="D76" s="23">
        <f>+D115</f>
        <v>-28703.970500000065</v>
      </c>
      <c r="E76" s="23">
        <f>+E115</f>
        <v>25851.535249999917</v>
      </c>
      <c r="F76" s="25"/>
      <c r="G76" s="25"/>
      <c r="L76" s="4"/>
    </row>
    <row r="77" spans="1:12" x14ac:dyDescent="0.2">
      <c r="A77" s="1" t="s">
        <v>95</v>
      </c>
      <c r="B77" s="21">
        <f>+B118</f>
        <v>4041.0344999998888</v>
      </c>
      <c r="C77" s="21">
        <f>+C118</f>
        <v>4127.1060000002253</v>
      </c>
      <c r="D77" s="21">
        <f>+D118</f>
        <v>-34949.970500000069</v>
      </c>
      <c r="E77" s="21">
        <f>+E118</f>
        <v>14277.535249999917</v>
      </c>
      <c r="F77" s="25"/>
      <c r="G77" s="25"/>
      <c r="L77" s="4"/>
    </row>
    <row r="78" spans="1:12" x14ac:dyDescent="0.2">
      <c r="A78" s="1" t="s">
        <v>103</v>
      </c>
      <c r="B78" s="21">
        <f>+B113</f>
        <v>7277.0344999998888</v>
      </c>
      <c r="C78" s="21">
        <f>+C113</f>
        <v>-541.89399999977468</v>
      </c>
      <c r="D78" s="21">
        <f>+D113</f>
        <v>12449.029499999935</v>
      </c>
      <c r="E78" s="21">
        <f>+E113</f>
        <v>17041.535249999917</v>
      </c>
      <c r="F78" s="25"/>
      <c r="G78" s="25"/>
      <c r="L78" s="4"/>
    </row>
    <row r="79" spans="1:12" x14ac:dyDescent="0.2">
      <c r="A79" s="1" t="s">
        <v>42</v>
      </c>
      <c r="B79" s="15">
        <f>1-(B15/B8)</f>
        <v>2.4734136206775115E-2</v>
      </c>
      <c r="C79" s="15">
        <f>1-(C15/C8)</f>
        <v>1.9020594815898906E-2</v>
      </c>
      <c r="D79" s="15">
        <f>1-(D15/D8)</f>
        <v>3.433656454446854E-2</v>
      </c>
      <c r="E79" s="15">
        <f>1-(E15/E8)</f>
        <v>4.282657274435242E-2</v>
      </c>
      <c r="F79" s="25"/>
      <c r="G79" s="25"/>
      <c r="L79" s="4"/>
    </row>
    <row r="80" spans="1:12" x14ac:dyDescent="0.2">
      <c r="A80" s="1" t="s">
        <v>71</v>
      </c>
      <c r="B80" s="15">
        <f>1-(B17/B9)</f>
        <v>4.5456982042347938E-2</v>
      </c>
      <c r="C80" s="15">
        <f>1-(C17/C9)</f>
        <v>-2.7843739814685575E-2</v>
      </c>
      <c r="D80" s="15">
        <f>1-(D17/D9)</f>
        <v>2.962163956189845E-2</v>
      </c>
      <c r="E80" s="15">
        <f>1-(E17/E9)</f>
        <v>-0.12733060482037284</v>
      </c>
      <c r="F80" s="25"/>
      <c r="G80" s="25"/>
      <c r="L80" s="4"/>
    </row>
    <row r="81" spans="1:19" x14ac:dyDescent="0.2">
      <c r="A81" s="1" t="s">
        <v>72</v>
      </c>
      <c r="B81" s="15">
        <f>1-(B17+B15)/(B8+B9)</f>
        <v>2.4990228876155096E-2</v>
      </c>
      <c r="C81" s="15">
        <f>1-(C17+C15)/(C8+C9)</f>
        <v>1.8541153606150496E-2</v>
      </c>
      <c r="D81" s="15">
        <f>1-(D17+D15)/(D8+D9)</f>
        <v>3.4254231701265292E-2</v>
      </c>
      <c r="E81" s="15">
        <f>1-(E17+E15)/(E8+E9)</f>
        <v>4.2573802607579592E-2</v>
      </c>
      <c r="F81" s="25"/>
      <c r="G81" s="25"/>
      <c r="L81" s="4"/>
    </row>
    <row r="82" spans="1:19" x14ac:dyDescent="0.2">
      <c r="A82" s="1" t="s">
        <v>109</v>
      </c>
      <c r="B82" s="16">
        <f>+B8+B9+B11-B15-B17-B18+'Cash Flow '!B10</f>
        <v>9529</v>
      </c>
      <c r="C82" s="16">
        <f>+C8+C9+C11-C15-C17-C18+'Cash Flow '!C10</f>
        <v>2465</v>
      </c>
      <c r="D82" s="16">
        <f>+D8+D9+D11-D15-D17-D18+'Cash Flow '!D10</f>
        <v>12862</v>
      </c>
      <c r="E82" s="16">
        <f>+E8+E9+E11-E15-E17-E18+'Cash Flow '!E10</f>
        <v>20449</v>
      </c>
      <c r="F82" s="23">
        <f>3300+F35+F31+F19</f>
        <v>36409</v>
      </c>
      <c r="G82" s="23"/>
      <c r="H82" s="16">
        <f ca="1">+H12-H15-H18+H26</f>
        <v>16764.354666666706</v>
      </c>
      <c r="I82" s="16"/>
      <c r="J82" s="16">
        <f ca="1">+J12-J15-J18+J26</f>
        <v>43104.164533333504</v>
      </c>
      <c r="K82" s="16">
        <f ca="1">+K12-K15-K18+K26</f>
        <v>51693.40076800008</v>
      </c>
      <c r="L82" s="16">
        <f ca="1">+L12-L15-L18+L26</f>
        <v>61765.786351786737</v>
      </c>
      <c r="M82" s="16">
        <f ca="1">+M12-M15-M18+M26</f>
        <v>71954.429417847641</v>
      </c>
    </row>
    <row r="83" spans="1:19" x14ac:dyDescent="0.2">
      <c r="A83" s="1" t="s">
        <v>73</v>
      </c>
      <c r="B83" s="15">
        <f>+B82/(B8+B9)</f>
        <v>6.3124772283130737E-3</v>
      </c>
      <c r="C83" s="15">
        <f>+C82/(C8+C9)</f>
        <v>1.1741841444651388E-3</v>
      </c>
      <c r="D83" s="15">
        <f>+D82/(D8+D9)</f>
        <v>9.3178928608944802E-3</v>
      </c>
      <c r="E83" s="15">
        <f>+E82/(E8+E9)</f>
        <v>1.3814091738161184E-2</v>
      </c>
      <c r="F83" s="25"/>
      <c r="G83" s="25"/>
      <c r="L83" s="4"/>
    </row>
    <row r="84" spans="1:19" x14ac:dyDescent="0.2">
      <c r="A84" s="1" t="s">
        <v>134</v>
      </c>
      <c r="B84" s="46">
        <f>+B82/B19</f>
        <v>3.0571061918511391</v>
      </c>
      <c r="C84" s="46">
        <f>+C82/C19</f>
        <v>0.50254841997961264</v>
      </c>
      <c r="D84" s="46">
        <f>+D82/D19</f>
        <v>2.2388163620539601</v>
      </c>
      <c r="E84" s="46">
        <f>+E82/E19</f>
        <v>3.887642585551331</v>
      </c>
      <c r="F84" s="25"/>
      <c r="G84" s="25"/>
      <c r="L84" s="4"/>
    </row>
    <row r="85" spans="1:19" x14ac:dyDescent="0.2">
      <c r="A85" s="1" t="s">
        <v>74</v>
      </c>
      <c r="B85" s="15">
        <f>+B28/B12</f>
        <v>3.6537625629053591E-3</v>
      </c>
      <c r="C85" s="15">
        <f>+C28/C12</f>
        <v>-2.3383178467510503E-3</v>
      </c>
      <c r="D85" s="15">
        <f>+D28/D12</f>
        <v>3.9849574168532324E-3</v>
      </c>
      <c r="E85" s="15">
        <f>+E28/E12</f>
        <v>8.7697418625909736E-3</v>
      </c>
      <c r="F85" s="25"/>
      <c r="G85" s="25"/>
      <c r="J85" s="18"/>
      <c r="L85" s="4"/>
    </row>
    <row r="86" spans="1:19" x14ac:dyDescent="0.2">
      <c r="A86" s="1" t="s">
        <v>75</v>
      </c>
      <c r="B86" s="15">
        <f>+B35/B12</f>
        <v>2.3015202981671074E-3</v>
      </c>
      <c r="C86" s="15">
        <f>+C35/C12</f>
        <v>1.1435843146836759E-2</v>
      </c>
      <c r="D86" s="15">
        <f>+D35/D12</f>
        <v>3.6243277863687771E-3</v>
      </c>
      <c r="E86" s="15">
        <f>+E35/E12</f>
        <v>7.8016928723011253E-3</v>
      </c>
      <c r="F86" s="25"/>
      <c r="G86" s="25"/>
      <c r="L86" s="4"/>
    </row>
    <row r="87" spans="1:19" x14ac:dyDescent="0.2">
      <c r="A87" s="1" t="s">
        <v>68</v>
      </c>
      <c r="B87" s="17">
        <f>365/(B8/'Balance Sheet'!B13)</f>
        <v>77.991377662410841</v>
      </c>
      <c r="C87" s="17">
        <f>365/(C8/'Balance Sheet'!C13)</f>
        <v>31.644295818809127</v>
      </c>
      <c r="D87" s="17">
        <f>365/(D8/'Balance Sheet'!D13)</f>
        <v>39.704166116743878</v>
      </c>
      <c r="E87" s="17">
        <f>365/(E8/'Balance Sheet'!E13)</f>
        <v>45.269501204586156</v>
      </c>
      <c r="F87" s="25">
        <v>57</v>
      </c>
      <c r="G87" s="25"/>
      <c r="L87" s="4"/>
    </row>
    <row r="88" spans="1:19" x14ac:dyDescent="0.2">
      <c r="A88" s="1" t="s">
        <v>78</v>
      </c>
      <c r="B88" s="17">
        <f>365/(B8/'Balance Sheet'!B14)</f>
        <v>33.166661636131316</v>
      </c>
      <c r="C88" s="17">
        <f>365/(C8/'Balance Sheet'!C14)</f>
        <v>10.014320069802819</v>
      </c>
      <c r="D88" s="17">
        <f>365/(D8/'Balance Sheet'!D14)</f>
        <v>13.817914235639273</v>
      </c>
      <c r="E88" s="17">
        <f>365/(E8/'Balance Sheet'!E14)</f>
        <v>13.040079805101275</v>
      </c>
      <c r="F88" s="25">
        <v>24</v>
      </c>
      <c r="G88" s="25"/>
      <c r="L88" s="49"/>
      <c r="M88" s="48"/>
      <c r="Q88" s="1">
        <f>+F87+F88</f>
        <v>81</v>
      </c>
      <c r="R88" s="1">
        <v>15</v>
      </c>
      <c r="S88" s="1">
        <f>+Q88-R88</f>
        <v>66</v>
      </c>
    </row>
    <row r="89" spans="1:19" x14ac:dyDescent="0.2">
      <c r="A89" s="1" t="s">
        <v>69</v>
      </c>
      <c r="B89" s="13">
        <f>+B18/B8</f>
        <v>2.1230871389333252E-2</v>
      </c>
      <c r="C89" s="13">
        <f>+C18/C8</f>
        <v>1.9471059791043927E-2</v>
      </c>
      <c r="D89" s="13">
        <f>+D18/D8</f>
        <v>2.8923112314755896E-2</v>
      </c>
      <c r="E89" s="13">
        <f>+E18/E8</f>
        <v>3.0920079209742771E-2</v>
      </c>
      <c r="F89" s="25"/>
      <c r="G89" s="25"/>
      <c r="L89" s="4"/>
    </row>
    <row r="90" spans="1:19" x14ac:dyDescent="0.2">
      <c r="A90" s="1" t="s">
        <v>70</v>
      </c>
      <c r="B90" s="12">
        <f>+('Balance Sheet'!B33+'Balance Sheet'!B27)/'Balance Sheet'!B37</f>
        <v>1.4306135668178062</v>
      </c>
      <c r="C90" s="12">
        <f>+('Balance Sheet'!C33+'Balance Sheet'!C27)/'Balance Sheet'!C37</f>
        <v>0.43046153575295559</v>
      </c>
      <c r="D90" s="12">
        <f>+('Balance Sheet'!D33+'Balance Sheet'!D27)/'Balance Sheet'!D37</f>
        <v>0.74385034614818091</v>
      </c>
      <c r="E90" s="12">
        <f>+('Balance Sheet'!E33+'Balance Sheet'!E27)/'Balance Sheet'!E37</f>
        <v>0.93922702069929309</v>
      </c>
      <c r="F90" s="25"/>
      <c r="G90" s="25"/>
      <c r="J90" s="18"/>
      <c r="L90" s="4"/>
      <c r="M90" s="4"/>
    </row>
    <row r="91" spans="1:19" x14ac:dyDescent="0.2">
      <c r="B91" s="4"/>
      <c r="C91" s="4"/>
      <c r="D91" s="4"/>
      <c r="E91" s="4"/>
      <c r="F91" s="25"/>
      <c r="G91" s="25"/>
    </row>
    <row r="92" spans="1:19" x14ac:dyDescent="0.2">
      <c r="A92" s="1" t="s">
        <v>82</v>
      </c>
      <c r="B92" s="18">
        <f>+B12-B106-B15-B17-B18</f>
        <v>9509.1299999998882</v>
      </c>
      <c r="C92" s="18">
        <f>+C12-C106-C15-C17-C18</f>
        <v>-76.759999999776483</v>
      </c>
      <c r="D92" s="18">
        <f>+D12-D106-D15-D17-D18</f>
        <v>11735.429999999935</v>
      </c>
      <c r="E92" s="18">
        <f>+E12-E106-E15-E17-E18</f>
        <v>18434.284999999916</v>
      </c>
      <c r="F92" s="18">
        <f>+F12-F106-F15-F17-F18</f>
        <v>36409</v>
      </c>
      <c r="G92" s="58">
        <f ca="1">+G12-G106-G15-G17-G18+G26</f>
        <v>19253.143333333428</v>
      </c>
      <c r="H92" s="58">
        <f ca="1">+H12-H106-H15-H17-H16-H18+H26</f>
        <v>14919.314723961605</v>
      </c>
      <c r="I92" s="58"/>
      <c r="J92" s="58">
        <f ca="1">+J12-J106-J15-J17-J16-J18+J26</f>
        <v>39397.417981256629</v>
      </c>
      <c r="K92" s="58">
        <f ca="1">+K12-K106-K15-K17-K16-K18+K26</f>
        <v>47969.987549256533</v>
      </c>
      <c r="L92" s="58">
        <f ca="1">+L12-L106-L15-L17-L16-L18+L26</f>
        <v>58025.706466376534</v>
      </c>
      <c r="M92" s="58">
        <f ca="1">+M12-M106-M15-M17-M16-M18+M26</f>
        <v>68197.682865770767</v>
      </c>
    </row>
    <row r="93" spans="1:19" x14ac:dyDescent="0.2">
      <c r="A93" s="1" t="s">
        <v>83</v>
      </c>
      <c r="B93" s="4">
        <f t="shared" ref="B93:H93" si="14">+B33+(0.35*B19)-(0.35*B106)</f>
        <v>2860.0954999999999</v>
      </c>
      <c r="C93" s="4">
        <f t="shared" si="14"/>
        <v>-28260.866000000002</v>
      </c>
      <c r="D93" s="4">
        <f t="shared" si="14"/>
        <v>1660.4005</v>
      </c>
      <c r="E93" s="4">
        <f t="shared" si="14"/>
        <v>2583.7497499999999</v>
      </c>
      <c r="F93" s="4">
        <f t="shared" si="14"/>
        <v>5195.2999999999993</v>
      </c>
      <c r="G93" s="4">
        <f t="shared" ca="1" si="14"/>
        <v>6272.0740620129318</v>
      </c>
      <c r="H93" s="4">
        <f t="shared" ca="1" si="14"/>
        <v>5221.7601533865727</v>
      </c>
      <c r="I93" s="4"/>
      <c r="J93" s="4">
        <f ca="1">+J33+(0.35*J19)-(0.35*J106)</f>
        <v>13789.096293439827</v>
      </c>
      <c r="K93" s="4">
        <f ca="1">+K33+(0.35*K19)-(0.35*K106)</f>
        <v>16789.495642239792</v>
      </c>
      <c r="L93" s="4">
        <f ca="1">+L33+(0.35*L19)-(0.35*L106)</f>
        <v>20308.99726323186</v>
      </c>
      <c r="M93" s="4">
        <f ca="1">+M33+(0.35*M19)-(0.35*M106)</f>
        <v>23869.189003019925</v>
      </c>
    </row>
    <row r="94" spans="1:19" ht="15" x14ac:dyDescent="0.35">
      <c r="A94" s="1" t="s">
        <v>84</v>
      </c>
      <c r="B94" s="5">
        <f>+'Cash Flow '!B11</f>
        <v>-1027</v>
      </c>
      <c r="C94" s="5">
        <f>+'Cash Flow '!C11</f>
        <v>-31525</v>
      </c>
      <c r="D94" s="5">
        <f>+'Cash Flow '!D11</f>
        <v>-521</v>
      </c>
      <c r="E94" s="5">
        <f>+'Cash Flow '!E11</f>
        <v>-955</v>
      </c>
      <c r="F94" s="5">
        <f>+'Cash Flow '!F11</f>
        <v>0</v>
      </c>
      <c r="G94" s="64">
        <f>+'Cash Flow '!G11</f>
        <v>1362.560864764024</v>
      </c>
      <c r="H94" s="64">
        <f ca="1">+'Cash Flow '!H11</f>
        <v>1832.2010981519782</v>
      </c>
      <c r="I94" s="64"/>
      <c r="J94" s="64">
        <f ca="1">+'Cash Flow '!J11</f>
        <v>6538.7161234517298</v>
      </c>
      <c r="K94" s="64">
        <f ca="1">+'Cash Flow '!K11</f>
        <v>4616.3306505725386</v>
      </c>
      <c r="L94" s="64">
        <f ca="1">+'Cash Flow '!L11</f>
        <v>3241.5265032778789</v>
      </c>
      <c r="M94" s="64">
        <f ca="1">+'Cash Flow '!M11</f>
        <v>2261.0509104040812</v>
      </c>
    </row>
    <row r="95" spans="1:19" x14ac:dyDescent="0.2">
      <c r="A95" s="1" t="s">
        <v>85</v>
      </c>
      <c r="B95" s="18">
        <f t="shared" ref="B95:M95" si="15">+B92-B93+B94</f>
        <v>5622.0344999998888</v>
      </c>
      <c r="C95" s="18">
        <f t="shared" si="15"/>
        <v>-3340.8939999997747</v>
      </c>
      <c r="D95" s="18">
        <f t="shared" si="15"/>
        <v>9554.0294999999351</v>
      </c>
      <c r="E95" s="18">
        <f t="shared" si="15"/>
        <v>14895.535249999917</v>
      </c>
      <c r="F95" s="18">
        <f t="shared" si="15"/>
        <v>31213.7</v>
      </c>
      <c r="G95" s="58">
        <f t="shared" ca="1" si="15"/>
        <v>14343.630136084519</v>
      </c>
      <c r="H95" s="58">
        <f t="shared" ca="1" si="15"/>
        <v>11529.75566872701</v>
      </c>
      <c r="I95" s="58"/>
      <c r="J95" s="58">
        <f t="shared" ca="1" si="15"/>
        <v>32147.037811268532</v>
      </c>
      <c r="K95" s="58">
        <f t="shared" ca="1" si="15"/>
        <v>35796.822557589279</v>
      </c>
      <c r="L95" s="58">
        <f t="shared" ca="1" si="15"/>
        <v>40958.235706422551</v>
      </c>
      <c r="M95" s="58">
        <f t="shared" ca="1" si="15"/>
        <v>46589.544773154921</v>
      </c>
    </row>
    <row r="96" spans="1:19" x14ac:dyDescent="0.2">
      <c r="F96" s="25"/>
      <c r="G96" s="25"/>
    </row>
    <row r="97" spans="1:13" x14ac:dyDescent="0.2">
      <c r="A97" s="1" t="s">
        <v>86</v>
      </c>
      <c r="B97" s="18">
        <f t="shared" ref="B97:M97" si="16">+B35</f>
        <v>3484</v>
      </c>
      <c r="C97" s="18">
        <f t="shared" si="16"/>
        <v>24057</v>
      </c>
      <c r="D97" s="18">
        <f t="shared" si="16"/>
        <v>5025</v>
      </c>
      <c r="E97" s="18">
        <f t="shared" si="16"/>
        <v>11573</v>
      </c>
      <c r="F97" s="18">
        <f t="shared" si="16"/>
        <v>22728</v>
      </c>
      <c r="G97" s="18"/>
      <c r="H97" s="18">
        <f t="shared" ca="1" si="16"/>
        <v>5300.3045705750646</v>
      </c>
      <c r="I97" s="18"/>
      <c r="J97" s="18">
        <f t="shared" ca="1" si="16"/>
        <v>16813.821687816824</v>
      </c>
      <c r="K97" s="18">
        <f t="shared" ca="1" si="16"/>
        <v>22385.991907016756</v>
      </c>
      <c r="L97" s="18">
        <f t="shared" ca="1" si="16"/>
        <v>28922.209203144892</v>
      </c>
      <c r="M97" s="18">
        <f t="shared" ca="1" si="16"/>
        <v>35533.993862751289</v>
      </c>
    </row>
    <row r="98" spans="1:13" outlineLevel="1" x14ac:dyDescent="0.2">
      <c r="A98" s="1" t="s">
        <v>87</v>
      </c>
      <c r="B98" s="4">
        <f>+'Cash Flow '!B11</f>
        <v>-1027</v>
      </c>
      <c r="C98" s="4">
        <f>+'Cash Flow '!C11</f>
        <v>-31525</v>
      </c>
      <c r="D98" s="4">
        <f>+'Cash Flow '!D11</f>
        <v>-521</v>
      </c>
      <c r="E98" s="4">
        <f>+'Cash Flow '!E11</f>
        <v>-955</v>
      </c>
      <c r="F98" s="4">
        <f>+'Cash Flow '!F11</f>
        <v>0</v>
      </c>
      <c r="G98" s="4"/>
      <c r="H98" s="4">
        <f ca="1">+'Cash Flow '!H11</f>
        <v>1832.2010981519782</v>
      </c>
      <c r="I98" s="4"/>
      <c r="J98" s="4">
        <f ca="1">+'Cash Flow '!J11</f>
        <v>6538.7161234517298</v>
      </c>
      <c r="K98" s="4">
        <f ca="1">+'Cash Flow '!K11</f>
        <v>4616.3306505725386</v>
      </c>
      <c r="L98" s="4">
        <f ca="1">+'Cash Flow '!L11</f>
        <v>3241.5265032778789</v>
      </c>
      <c r="M98" s="4">
        <f ca="1">+'Cash Flow '!M11</f>
        <v>2261.0509104040812</v>
      </c>
    </row>
    <row r="99" spans="1:13" outlineLevel="1" x14ac:dyDescent="0.2">
      <c r="A99" s="1" t="s">
        <v>88</v>
      </c>
      <c r="B99" s="4">
        <v>0</v>
      </c>
      <c r="C99" s="4">
        <v>0</v>
      </c>
      <c r="D99" s="4">
        <v>0</v>
      </c>
      <c r="E99" s="4">
        <v>0</v>
      </c>
      <c r="F99" s="4">
        <v>0</v>
      </c>
      <c r="G99" s="4"/>
      <c r="H99" s="4">
        <v>0</v>
      </c>
      <c r="I99" s="4"/>
      <c r="J99" s="4">
        <v>0</v>
      </c>
      <c r="K99" s="4">
        <v>0</v>
      </c>
      <c r="L99" s="4">
        <v>0</v>
      </c>
      <c r="M99" s="4">
        <v>0</v>
      </c>
    </row>
    <row r="100" spans="1:13" outlineLevel="1" x14ac:dyDescent="0.2">
      <c r="A100" s="1" t="s">
        <v>89</v>
      </c>
      <c r="B100" s="4">
        <f t="shared" ref="B100:M100" si="17">(1-0.35)*B19</f>
        <v>2026.0500000000002</v>
      </c>
      <c r="C100" s="4">
        <f t="shared" si="17"/>
        <v>3188.25</v>
      </c>
      <c r="D100" s="4">
        <f t="shared" si="17"/>
        <v>3734.25</v>
      </c>
      <c r="E100" s="4">
        <f t="shared" si="17"/>
        <v>3419</v>
      </c>
      <c r="F100" s="4">
        <f t="shared" si="17"/>
        <v>5185.7</v>
      </c>
      <c r="G100" s="4"/>
      <c r="H100" s="4">
        <f t="shared" si="17"/>
        <v>4397.25</v>
      </c>
      <c r="I100" s="4"/>
      <c r="J100" s="4">
        <f t="shared" si="17"/>
        <v>8794.5</v>
      </c>
      <c r="K100" s="4">
        <f t="shared" si="17"/>
        <v>8794.5</v>
      </c>
      <c r="L100" s="4">
        <f t="shared" si="17"/>
        <v>8794.5</v>
      </c>
      <c r="M100" s="4">
        <f t="shared" si="17"/>
        <v>8794.5</v>
      </c>
    </row>
    <row r="101" spans="1:13" outlineLevel="1" x14ac:dyDescent="0.2">
      <c r="A101" s="1" t="s">
        <v>90</v>
      </c>
      <c r="B101" s="4">
        <f t="shared" ref="B101:M101" si="18">-B106*(1-0.35)</f>
        <v>-516.01549999999997</v>
      </c>
      <c r="C101" s="4">
        <f t="shared" si="18"/>
        <v>-1860.1440000000002</v>
      </c>
      <c r="D101" s="4">
        <f t="shared" si="18"/>
        <v>-1579.2205000000001</v>
      </c>
      <c r="E101" s="4">
        <f t="shared" si="18"/>
        <v>-1287.4647500000001</v>
      </c>
      <c r="F101" s="4">
        <f t="shared" si="18"/>
        <v>0</v>
      </c>
      <c r="G101" s="4"/>
      <c r="H101" s="4">
        <f t="shared" si="18"/>
        <v>0</v>
      </c>
      <c r="I101" s="4"/>
      <c r="J101" s="4">
        <f t="shared" si="18"/>
        <v>0</v>
      </c>
      <c r="K101" s="4">
        <f t="shared" si="18"/>
        <v>0</v>
      </c>
      <c r="L101" s="4">
        <f t="shared" si="18"/>
        <v>0</v>
      </c>
      <c r="M101" s="4">
        <f t="shared" si="18"/>
        <v>0</v>
      </c>
    </row>
    <row r="102" spans="1:13" outlineLevel="1" x14ac:dyDescent="0.2">
      <c r="A102" s="1" t="s">
        <v>91</v>
      </c>
      <c r="B102" s="14">
        <v>0</v>
      </c>
      <c r="C102" s="14">
        <v>0</v>
      </c>
      <c r="D102" s="14">
        <v>0</v>
      </c>
      <c r="E102" s="14">
        <v>0</v>
      </c>
      <c r="F102" s="14">
        <v>0</v>
      </c>
      <c r="G102" s="14"/>
      <c r="H102" s="14">
        <v>0</v>
      </c>
      <c r="I102" s="14"/>
      <c r="J102" s="14">
        <v>0</v>
      </c>
      <c r="K102" s="14">
        <v>0</v>
      </c>
      <c r="L102" s="14">
        <v>0</v>
      </c>
      <c r="M102" s="14">
        <v>0</v>
      </c>
    </row>
    <row r="103" spans="1:13" outlineLevel="1" x14ac:dyDescent="0.2">
      <c r="A103" s="1" t="s">
        <v>85</v>
      </c>
      <c r="B103" s="18">
        <f t="shared" ref="B103:M103" si="19">SUM(B97:B102)</f>
        <v>3967.0345000000002</v>
      </c>
      <c r="C103" s="18">
        <f t="shared" si="19"/>
        <v>-6139.8940000000002</v>
      </c>
      <c r="D103" s="18">
        <f t="shared" si="19"/>
        <v>6659.0294999999996</v>
      </c>
      <c r="E103" s="18">
        <f t="shared" si="19"/>
        <v>12749.535250000001</v>
      </c>
      <c r="F103" s="18">
        <f t="shared" si="19"/>
        <v>27913.7</v>
      </c>
      <c r="G103" s="18"/>
      <c r="H103" s="18">
        <f t="shared" ca="1" si="19"/>
        <v>11529.755668727043</v>
      </c>
      <c r="I103" s="18"/>
      <c r="J103" s="18">
        <f t="shared" ca="1" si="19"/>
        <v>32147.037811268554</v>
      </c>
      <c r="K103" s="18">
        <f t="shared" ca="1" si="19"/>
        <v>35796.822557589294</v>
      </c>
      <c r="L103" s="18">
        <f t="shared" ca="1" si="19"/>
        <v>40958.235706422769</v>
      </c>
      <c r="M103" s="18">
        <f t="shared" ca="1" si="19"/>
        <v>46589.544773155372</v>
      </c>
    </row>
    <row r="104" spans="1:13" outlineLevel="1" x14ac:dyDescent="0.2">
      <c r="F104" s="25"/>
      <c r="G104" s="25"/>
    </row>
    <row r="105" spans="1:13" ht="15" outlineLevel="1" x14ac:dyDescent="0.35">
      <c r="A105" s="1" t="str">
        <f>+A10</f>
        <v>Investment and interest income</v>
      </c>
      <c r="B105" s="19">
        <f>+B10</f>
        <v>2429</v>
      </c>
      <c r="C105" s="19">
        <f>+C10</f>
        <v>3119</v>
      </c>
      <c r="D105" s="19">
        <f>+D10</f>
        <v>4198</v>
      </c>
      <c r="E105" s="19">
        <f>+E10</f>
        <v>2112</v>
      </c>
      <c r="F105" s="25"/>
      <c r="G105" s="25"/>
    </row>
    <row r="106" spans="1:13" outlineLevel="1" x14ac:dyDescent="0.2">
      <c r="A106" s="1" t="s">
        <v>108</v>
      </c>
      <c r="B106" s="4">
        <f>+'Balance Sheet'!B10*0.055</f>
        <v>793.87</v>
      </c>
      <c r="C106" s="4">
        <f>+'Balance Sheet'!C10*0.055</f>
        <v>2861.76</v>
      </c>
      <c r="D106" s="4">
        <f>+'Balance Sheet'!D10*0.055</f>
        <v>2429.5700000000002</v>
      </c>
      <c r="E106" s="4">
        <f>+'Balance Sheet'!E10*0.055</f>
        <v>1980.7149999999999</v>
      </c>
      <c r="F106" s="25"/>
      <c r="G106" s="25"/>
    </row>
    <row r="107" spans="1:13" outlineLevel="1" x14ac:dyDescent="0.2">
      <c r="A107" s="1" t="s">
        <v>92</v>
      </c>
      <c r="B107" s="18">
        <f>+B105-B106</f>
        <v>1635.13</v>
      </c>
      <c r="C107" s="18">
        <f>+C105-C106</f>
        <v>257.23999999999978</v>
      </c>
      <c r="D107" s="18">
        <f>+D105-D106</f>
        <v>1768.4299999999998</v>
      </c>
      <c r="E107" s="18">
        <f>+E105-E106</f>
        <v>131.28500000000008</v>
      </c>
      <c r="F107" s="25"/>
      <c r="G107" s="25"/>
    </row>
    <row r="108" spans="1:13" outlineLevel="1" x14ac:dyDescent="0.2">
      <c r="F108" s="25"/>
      <c r="G108" s="25"/>
    </row>
    <row r="109" spans="1:13" outlineLevel="1" x14ac:dyDescent="0.2">
      <c r="F109" s="25"/>
      <c r="G109" s="25"/>
    </row>
    <row r="110" spans="1:13" outlineLevel="1" x14ac:dyDescent="0.2">
      <c r="A110" s="1" t="s">
        <v>85</v>
      </c>
      <c r="B110" s="18">
        <f>+B95</f>
        <v>5622.0344999998888</v>
      </c>
      <c r="C110" s="18">
        <f>+C95</f>
        <v>-3340.8939999997747</v>
      </c>
      <c r="D110" s="18">
        <f>+D95</f>
        <v>9554.0294999999351</v>
      </c>
      <c r="E110" s="18">
        <f>+E95</f>
        <v>14895.535249999917</v>
      </c>
      <c r="F110" s="25"/>
      <c r="G110" s="25"/>
    </row>
    <row r="111" spans="1:13" outlineLevel="1" x14ac:dyDescent="0.2">
      <c r="A111" s="1" t="s">
        <v>101</v>
      </c>
      <c r="B111" s="4">
        <f>+'Cash Flow '!B10</f>
        <v>1655</v>
      </c>
      <c r="C111" s="4">
        <f>+'Cash Flow '!C10</f>
        <v>2799</v>
      </c>
      <c r="D111" s="4">
        <f>+'Cash Flow '!D10</f>
        <v>2895</v>
      </c>
      <c r="E111" s="4">
        <f>+'Cash Flow '!E10</f>
        <v>2146</v>
      </c>
      <c r="F111" s="25"/>
      <c r="G111" s="25"/>
    </row>
    <row r="112" spans="1:13" ht="15" outlineLevel="1" x14ac:dyDescent="0.35">
      <c r="A112" s="1" t="s">
        <v>102</v>
      </c>
      <c r="B112" s="5">
        <v>0</v>
      </c>
      <c r="C112" s="5">
        <v>0</v>
      </c>
      <c r="D112" s="5">
        <v>0</v>
      </c>
      <c r="E112" s="5">
        <v>0</v>
      </c>
      <c r="F112" s="25"/>
      <c r="G112" s="25"/>
    </row>
    <row r="113" spans="1:7" outlineLevel="1" x14ac:dyDescent="0.2">
      <c r="A113" s="2" t="s">
        <v>96</v>
      </c>
      <c r="B113" s="20">
        <f>+B110+B111-B112</f>
        <v>7277.0344999998888</v>
      </c>
      <c r="C113" s="20">
        <f>+C110+C111-C112</f>
        <v>-541.89399999977468</v>
      </c>
      <c r="D113" s="20">
        <f>+D110+D111-D112</f>
        <v>12449.029499999935</v>
      </c>
      <c r="E113" s="20">
        <f>+E110+E111-E112</f>
        <v>17041.535249999917</v>
      </c>
      <c r="F113" s="25"/>
      <c r="G113" s="25"/>
    </row>
    <row r="114" spans="1:7" outlineLevel="1" x14ac:dyDescent="0.2">
      <c r="A114" s="1" t="s">
        <v>580</v>
      </c>
      <c r="B114" s="4">
        <f>'Balance Sheet'!B48</f>
        <v>0</v>
      </c>
      <c r="C114" s="4">
        <f>'Balance Sheet'!C48</f>
        <v>11780</v>
      </c>
      <c r="D114" s="4">
        <f>'Balance Sheet'!D48</f>
        <v>-41153</v>
      </c>
      <c r="E114" s="4">
        <f>'Balance Sheet'!E48</f>
        <v>8810</v>
      </c>
      <c r="F114" s="25"/>
      <c r="G114" s="25"/>
    </row>
    <row r="115" spans="1:7" x14ac:dyDescent="0.2">
      <c r="A115" s="2" t="s">
        <v>116</v>
      </c>
      <c r="B115" s="24">
        <f>+B113+B114</f>
        <v>7277.0344999998888</v>
      </c>
      <c r="C115" s="24">
        <f>+C113+C114</f>
        <v>11238.106000000225</v>
      </c>
      <c r="D115" s="24">
        <f>+D113+D114</f>
        <v>-28703.970500000065</v>
      </c>
      <c r="E115" s="24">
        <f>+E113+E114</f>
        <v>25851.535249999917</v>
      </c>
      <c r="F115" s="25"/>
      <c r="G115" s="25"/>
    </row>
    <row r="116" spans="1:7" ht="15" x14ac:dyDescent="0.35">
      <c r="A116" s="1" t="s">
        <v>581</v>
      </c>
      <c r="B116" s="5">
        <f>('Cash Flow '!B24+'Cash Flow '!B25)</f>
        <v>-3236</v>
      </c>
      <c r="C116" s="5">
        <f>('Cash Flow '!C24+'Cash Flow '!C25)</f>
        <v>-7111</v>
      </c>
      <c r="D116" s="5">
        <f>('Cash Flow '!D24+'Cash Flow '!D25)</f>
        <v>-6246</v>
      </c>
      <c r="E116" s="5">
        <f>('Cash Flow '!E24+'Cash Flow '!E25)</f>
        <v>-11574</v>
      </c>
      <c r="F116" s="25"/>
      <c r="G116" s="25"/>
    </row>
    <row r="117" spans="1:7" ht="15" x14ac:dyDescent="0.35">
      <c r="A117" s="1" t="s">
        <v>582</v>
      </c>
      <c r="B117" s="19">
        <f>+B114+B116</f>
        <v>-3236</v>
      </c>
      <c r="C117" s="19">
        <f>+C114+C116</f>
        <v>4669</v>
      </c>
      <c r="D117" s="19">
        <f>+D114+D116</f>
        <v>-47399</v>
      </c>
      <c r="E117" s="19">
        <f>+E114+E116</f>
        <v>-2764</v>
      </c>
    </row>
    <row r="118" spans="1:7" x14ac:dyDescent="0.2">
      <c r="A118" s="2" t="s">
        <v>95</v>
      </c>
      <c r="B118" s="22">
        <f>+B113+B117</f>
        <v>4041.0344999998888</v>
      </c>
      <c r="C118" s="22">
        <f>+C113+C117</f>
        <v>4127.1060000002253</v>
      </c>
      <c r="D118" s="22">
        <f>+D113+D117</f>
        <v>-34949.970500000069</v>
      </c>
      <c r="E118" s="22">
        <f>+E113+E117</f>
        <v>14277.535249999917</v>
      </c>
    </row>
  </sheetData>
  <printOptions horizontalCentered="1"/>
  <pageMargins left="0.75" right="0.75" top="0.53" bottom="1" header="0.5" footer="0.5"/>
  <pageSetup scale="69" orientation="landscape" verticalDpi="200" r:id="rId1"/>
  <headerFooter alignWithMargins="0">
    <oddFooter>&amp;L&amp;7&amp;D &amp;T&amp;C&amp;8&amp;P&amp;R&amp;7o:/Corpdev/North America/Raul/Ammonia/&amp;F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3"/>
  <sheetViews>
    <sheetView showGridLines="0" topLeftCell="B1" zoomScale="75" workbookViewId="0">
      <pane ySplit="5" topLeftCell="A6" activePane="bottomLeft" state="frozen"/>
      <selection activeCell="B33" sqref="B33"/>
      <selection pane="bottomLeft" activeCell="J10" sqref="J10"/>
    </sheetView>
  </sheetViews>
  <sheetFormatPr defaultRowHeight="12.75" outlineLevelRow="1" x14ac:dyDescent="0.2"/>
  <cols>
    <col min="1" max="1" width="48.85546875" style="1" bestFit="1" customWidth="1"/>
    <col min="2" max="2" width="12.140625" style="1" bestFit="1" customWidth="1"/>
    <col min="3" max="3" width="12" style="1" bestFit="1" customWidth="1"/>
    <col min="4" max="5" width="12.140625" style="1" bestFit="1" customWidth="1"/>
    <col min="6" max="14" width="12.140625" style="1" customWidth="1"/>
    <col min="15" max="15" width="10.5703125" style="1" customWidth="1"/>
    <col min="16" max="16384" width="9.140625" style="1"/>
  </cols>
  <sheetData>
    <row r="1" spans="1:15" ht="27" thickBot="1" x14ac:dyDescent="0.45">
      <c r="A1" s="352" t="s">
        <v>518</v>
      </c>
      <c r="B1" s="345"/>
      <c r="C1" s="345"/>
      <c r="D1" s="346"/>
      <c r="E1" s="346"/>
      <c r="F1" s="346"/>
      <c r="G1" s="346"/>
      <c r="H1" s="346"/>
      <c r="I1" s="346"/>
      <c r="J1" s="357" t="s">
        <v>25</v>
      </c>
      <c r="K1" s="357" t="s">
        <v>25</v>
      </c>
      <c r="L1" s="346"/>
      <c r="M1" s="346"/>
      <c r="N1" s="772" t="s">
        <v>662</v>
      </c>
    </row>
    <row r="2" spans="1:15" ht="25.5" x14ac:dyDescent="0.35">
      <c r="A2" s="381"/>
      <c r="B2" s="382"/>
      <c r="C2" s="382"/>
      <c r="D2" s="25"/>
      <c r="E2" s="25"/>
      <c r="F2" s="25"/>
      <c r="G2" s="25"/>
      <c r="H2" s="25"/>
      <c r="I2" s="25"/>
      <c r="J2" s="385"/>
      <c r="K2" s="589"/>
      <c r="N2" s="773" t="s">
        <v>659</v>
      </c>
    </row>
    <row r="3" spans="1:15" ht="25.5" x14ac:dyDescent="0.35">
      <c r="A3" s="381"/>
      <c r="B3" s="382"/>
      <c r="C3" s="382"/>
      <c r="D3" s="25"/>
      <c r="E3" s="25"/>
      <c r="F3" s="25"/>
      <c r="G3" s="25"/>
      <c r="H3" s="25"/>
      <c r="I3" s="25"/>
      <c r="J3" s="385"/>
    </row>
    <row r="4" spans="1:15" ht="27.75" x14ac:dyDescent="0.35">
      <c r="A4" s="381"/>
      <c r="B4" s="382"/>
      <c r="C4" s="382"/>
      <c r="D4" s="25"/>
      <c r="E4" s="25"/>
      <c r="F4" s="25"/>
      <c r="G4" s="25"/>
      <c r="H4" s="753" t="s">
        <v>868</v>
      </c>
      <c r="I4" s="771" t="s">
        <v>909</v>
      </c>
      <c r="J4" s="385"/>
    </row>
    <row r="5" spans="1:15" ht="15.75" x14ac:dyDescent="0.25">
      <c r="A5" s="306" t="s">
        <v>77</v>
      </c>
      <c r="B5" s="758">
        <v>35430</v>
      </c>
      <c r="C5" s="758">
        <v>35795</v>
      </c>
      <c r="D5" s="758">
        <v>36160</v>
      </c>
      <c r="E5" s="758">
        <v>36525</v>
      </c>
      <c r="F5" s="758">
        <v>36861</v>
      </c>
      <c r="G5" s="758">
        <v>37072</v>
      </c>
      <c r="H5" s="746"/>
      <c r="I5" s="758">
        <v>37072</v>
      </c>
      <c r="J5" s="758">
        <v>37226</v>
      </c>
      <c r="K5" s="758">
        <v>37591</v>
      </c>
      <c r="L5" s="758">
        <v>37956</v>
      </c>
      <c r="M5" s="758">
        <v>38322</v>
      </c>
      <c r="N5" s="758">
        <v>38687</v>
      </c>
    </row>
    <row r="6" spans="1:15" x14ac:dyDescent="0.2">
      <c r="H6" s="747"/>
    </row>
    <row r="7" spans="1:15" ht="13.5" x14ac:dyDescent="0.25">
      <c r="A7" s="3" t="s">
        <v>0</v>
      </c>
      <c r="H7" s="747"/>
    </row>
    <row r="8" spans="1:15" x14ac:dyDescent="0.2">
      <c r="H8" s="747"/>
    </row>
    <row r="9" spans="1:15" x14ac:dyDescent="0.2">
      <c r="A9" s="2" t="s">
        <v>1</v>
      </c>
      <c r="F9" s="18"/>
      <c r="G9" s="18"/>
      <c r="H9" s="748"/>
    </row>
    <row r="10" spans="1:15" x14ac:dyDescent="0.2">
      <c r="A10" s="1" t="s">
        <v>2</v>
      </c>
      <c r="B10" s="4">
        <v>14434</v>
      </c>
      <c r="C10" s="4">
        <v>52032</v>
      </c>
      <c r="D10" s="4">
        <v>44174</v>
      </c>
      <c r="E10" s="4">
        <v>36013</v>
      </c>
      <c r="F10" s="23">
        <v>14467</v>
      </c>
      <c r="G10" s="23">
        <f ca="1">'Cash Flow '!G34+'Cash Flow '!G36</f>
        <v>37955.319559492258</v>
      </c>
      <c r="H10" s="750"/>
      <c r="I10" s="4">
        <f t="shared" ref="I10:I15" ca="1" si="0">G10+H10</f>
        <v>37955.319559492258</v>
      </c>
      <c r="J10" s="4">
        <f ca="1">'Cash Flow '!H38</f>
        <v>1.0000000038417056E-3</v>
      </c>
      <c r="K10" s="4">
        <f ca="1">'Cash Flow '!J38</f>
        <v>10000</v>
      </c>
      <c r="L10" s="4">
        <f ca="1">'Cash Flow '!K38</f>
        <v>10000</v>
      </c>
      <c r="M10" s="4">
        <f ca="1">'Cash Flow '!L38</f>
        <v>10000</v>
      </c>
      <c r="N10" s="4">
        <f ca="1">'Cash Flow '!M38</f>
        <v>10000</v>
      </c>
      <c r="O10" s="18"/>
    </row>
    <row r="11" spans="1:15" x14ac:dyDescent="0.2">
      <c r="A11" s="1" t="s">
        <v>3</v>
      </c>
      <c r="B11" s="506">
        <v>13867</v>
      </c>
      <c r="C11" s="506">
        <v>14460</v>
      </c>
      <c r="D11" s="506">
        <v>26205</v>
      </c>
      <c r="E11" s="506">
        <v>12117</v>
      </c>
      <c r="F11" s="508">
        <v>12230</v>
      </c>
      <c r="G11" s="508">
        <v>0</v>
      </c>
      <c r="H11" s="750"/>
      <c r="I11" s="506">
        <f t="shared" si="0"/>
        <v>0</v>
      </c>
      <c r="J11" s="506">
        <v>0</v>
      </c>
      <c r="K11" s="506">
        <f t="shared" ref="K11:N12" si="1">J11</f>
        <v>0</v>
      </c>
      <c r="L11" s="506">
        <f t="shared" si="1"/>
        <v>0</v>
      </c>
      <c r="M11" s="506">
        <f t="shared" si="1"/>
        <v>0</v>
      </c>
      <c r="N11" s="506">
        <f t="shared" si="1"/>
        <v>0</v>
      </c>
      <c r="O11" s="18"/>
    </row>
    <row r="12" spans="1:15" x14ac:dyDescent="0.2">
      <c r="A12" s="1" t="s">
        <v>4</v>
      </c>
      <c r="B12" s="506">
        <v>1499</v>
      </c>
      <c r="C12" s="506">
        <v>0</v>
      </c>
      <c r="D12" s="506">
        <v>0</v>
      </c>
      <c r="E12" s="506">
        <v>0</v>
      </c>
      <c r="F12" s="508">
        <v>0</v>
      </c>
      <c r="G12" s="508">
        <f>F12</f>
        <v>0</v>
      </c>
      <c r="H12" s="750"/>
      <c r="I12" s="506">
        <f t="shared" si="0"/>
        <v>0</v>
      </c>
      <c r="J12" s="506">
        <f>+I12</f>
        <v>0</v>
      </c>
      <c r="K12" s="506">
        <f t="shared" si="1"/>
        <v>0</v>
      </c>
      <c r="L12" s="506">
        <f t="shared" si="1"/>
        <v>0</v>
      </c>
      <c r="M12" s="506">
        <f t="shared" si="1"/>
        <v>0</v>
      </c>
      <c r="N12" s="506">
        <f t="shared" si="1"/>
        <v>0</v>
      </c>
      <c r="O12" s="18"/>
    </row>
    <row r="13" spans="1:15" x14ac:dyDescent="0.2">
      <c r="A13" s="1" t="s">
        <v>5</v>
      </c>
      <c r="B13" s="506">
        <v>318567</v>
      </c>
      <c r="C13" s="506">
        <v>180143</v>
      </c>
      <c r="D13" s="506">
        <v>147531</v>
      </c>
      <c r="E13" s="506">
        <v>183323</v>
      </c>
      <c r="F13" s="508">
        <v>371477</v>
      </c>
      <c r="G13" s="508">
        <f ca="1">+'Misc Calcs'!D101</f>
        <v>382670.6036423234</v>
      </c>
      <c r="H13" s="750"/>
      <c r="I13" s="506">
        <f t="shared" ca="1" si="0"/>
        <v>382670.6036423234</v>
      </c>
      <c r="J13" s="506">
        <f ca="1">'Misc Calcs'!E101</f>
        <v>367056.85105517751</v>
      </c>
      <c r="K13" s="506">
        <f ca="1">'Misc Calcs'!F101</f>
        <v>342424.9461326325</v>
      </c>
      <c r="L13" s="506">
        <f ca="1">'Misc Calcs'!G101</f>
        <v>351449.29316489364</v>
      </c>
      <c r="M13" s="506">
        <f ca="1">'Misc Calcs'!H101</f>
        <v>364946.23268254736</v>
      </c>
      <c r="N13" s="506">
        <f ca="1">'Misc Calcs'!I101</f>
        <v>378393.88053197705</v>
      </c>
      <c r="O13" s="18"/>
    </row>
    <row r="14" spans="1:15" x14ac:dyDescent="0.2">
      <c r="A14" s="1" t="s">
        <v>6</v>
      </c>
      <c r="B14" s="506">
        <v>135474</v>
      </c>
      <c r="C14" s="506">
        <v>57009</v>
      </c>
      <c r="D14" s="506">
        <v>51344</v>
      </c>
      <c r="E14" s="506">
        <v>52807</v>
      </c>
      <c r="F14" s="508">
        <v>156408</v>
      </c>
      <c r="G14" s="508">
        <f ca="1">+'Misc Calcs'!D102</f>
        <v>147024.55603216158</v>
      </c>
      <c r="H14" s="750"/>
      <c r="I14" s="506">
        <f t="shared" ca="1" si="0"/>
        <v>147024.55603216158</v>
      </c>
      <c r="J14" s="506">
        <f ca="1">'Misc Calcs'!E102</f>
        <v>143360.61839599599</v>
      </c>
      <c r="K14" s="506">
        <f ca="1">'Misc Calcs'!F102</f>
        <v>148146.63700523117</v>
      </c>
      <c r="L14" s="506">
        <f ca="1">'Misc Calcs'!G102</f>
        <v>145972.36727517034</v>
      </c>
      <c r="M14" s="506">
        <f ca="1">'Misc Calcs'!H102</f>
        <v>150838.70122248528</v>
      </c>
      <c r="N14" s="506">
        <f ca="1">'Misc Calcs'!I102</f>
        <v>154878.35165296946</v>
      </c>
      <c r="O14" s="18"/>
    </row>
    <row r="15" spans="1:15" ht="15" x14ac:dyDescent="0.35">
      <c r="A15" s="1" t="s">
        <v>7</v>
      </c>
      <c r="B15" s="507">
        <v>2803</v>
      </c>
      <c r="C15" s="507">
        <v>2307</v>
      </c>
      <c r="D15" s="507">
        <v>1130</v>
      </c>
      <c r="E15" s="507">
        <v>1177</v>
      </c>
      <c r="F15" s="509">
        <v>3277</v>
      </c>
      <c r="G15" s="509">
        <f>+F15</f>
        <v>3277</v>
      </c>
      <c r="H15" s="751"/>
      <c r="I15" s="507">
        <f t="shared" si="0"/>
        <v>3277</v>
      </c>
      <c r="J15" s="507">
        <f>I15</f>
        <v>3277</v>
      </c>
      <c r="K15" s="507">
        <f>J15</f>
        <v>3277</v>
      </c>
      <c r="L15" s="507">
        <f>K15</f>
        <v>3277</v>
      </c>
      <c r="M15" s="507">
        <f>L15</f>
        <v>3277</v>
      </c>
      <c r="N15" s="507">
        <f>M15</f>
        <v>3277</v>
      </c>
      <c r="O15" s="18"/>
    </row>
    <row r="16" spans="1:15" x14ac:dyDescent="0.2">
      <c r="A16" s="1" t="s">
        <v>8</v>
      </c>
      <c r="B16" s="4">
        <f t="shared" ref="B16:N16" si="2">SUM(B10:B15)</f>
        <v>486644</v>
      </c>
      <c r="C16" s="4">
        <f t="shared" si="2"/>
        <v>305951</v>
      </c>
      <c r="D16" s="4">
        <f t="shared" si="2"/>
        <v>270384</v>
      </c>
      <c r="E16" s="4">
        <f t="shared" si="2"/>
        <v>285437</v>
      </c>
      <c r="F16" s="23">
        <f t="shared" si="2"/>
        <v>557859</v>
      </c>
      <c r="G16" s="23">
        <f t="shared" ca="1" si="2"/>
        <v>570927.47923397727</v>
      </c>
      <c r="H16" s="750"/>
      <c r="I16" s="4">
        <f t="shared" ca="1" si="2"/>
        <v>570927.47923397727</v>
      </c>
      <c r="J16" s="4">
        <f t="shared" ca="1" si="2"/>
        <v>513694.47045117349</v>
      </c>
      <c r="K16" s="4">
        <f t="shared" ca="1" si="2"/>
        <v>503848.58313786366</v>
      </c>
      <c r="L16" s="4">
        <f t="shared" ca="1" si="2"/>
        <v>510698.66044006398</v>
      </c>
      <c r="M16" s="4">
        <f t="shared" ca="1" si="2"/>
        <v>529061.9339050327</v>
      </c>
      <c r="N16" s="4">
        <f t="shared" ca="1" si="2"/>
        <v>546549.23218494654</v>
      </c>
      <c r="O16" s="18"/>
    </row>
    <row r="17" spans="1:19" x14ac:dyDescent="0.2">
      <c r="B17" s="4"/>
      <c r="C17" s="4"/>
      <c r="D17" s="4"/>
      <c r="E17" s="4"/>
      <c r="F17" s="23"/>
      <c r="G17" s="23"/>
      <c r="H17" s="750"/>
      <c r="I17" s="4"/>
      <c r="J17" s="4"/>
      <c r="K17" s="4"/>
      <c r="L17" s="4"/>
      <c r="M17" s="4"/>
      <c r="N17" s="4"/>
      <c r="O17" s="18"/>
    </row>
    <row r="18" spans="1:19" x14ac:dyDescent="0.2">
      <c r="A18" s="2" t="s">
        <v>9</v>
      </c>
      <c r="B18" s="4">
        <v>11231</v>
      </c>
      <c r="C18" s="4">
        <v>12448</v>
      </c>
      <c r="D18" s="4">
        <v>17223</v>
      </c>
      <c r="E18" s="4">
        <v>16436</v>
      </c>
      <c r="F18" s="23">
        <v>865</v>
      </c>
      <c r="G18" s="23">
        <f>+F18</f>
        <v>865</v>
      </c>
      <c r="H18" s="769">
        <f ca="1">Goodwill!G16</f>
        <v>40968.657209831013</v>
      </c>
      <c r="I18" s="4">
        <f ca="1">G18+H18</f>
        <v>41833.657209831013</v>
      </c>
      <c r="J18" s="4">
        <f ca="1">I18+'Cash Flow '!H24-Dep!F68/2</f>
        <v>41321.548994708122</v>
      </c>
      <c r="K18" s="4">
        <f ca="1">J18+'Cash Flow '!J24-Dep!G68</f>
        <v>40297.332564462347</v>
      </c>
      <c r="L18" s="4">
        <f ca="1">K18+'Cash Flow '!K24-Dep!H68</f>
        <v>39273.116134216572</v>
      </c>
      <c r="M18" s="4">
        <f ca="1">L18+'Cash Flow '!L24-Dep!I68</f>
        <v>38248.899703970797</v>
      </c>
      <c r="N18" s="4">
        <f ca="1">M18+'Cash Flow '!M24-Dep!J68</f>
        <v>37224.683273725022</v>
      </c>
      <c r="O18" s="18"/>
    </row>
    <row r="19" spans="1:19" x14ac:dyDescent="0.2">
      <c r="B19" s="4"/>
      <c r="C19" s="4"/>
      <c r="D19" s="4"/>
      <c r="E19" s="4"/>
      <c r="F19" s="23"/>
      <c r="G19" s="23"/>
      <c r="H19" s="769"/>
      <c r="I19" s="4"/>
      <c r="J19" s="4"/>
      <c r="K19" s="4"/>
      <c r="L19" s="4"/>
      <c r="M19" s="4"/>
      <c r="N19" s="4"/>
      <c r="O19" s="18"/>
    </row>
    <row r="20" spans="1:19" x14ac:dyDescent="0.2">
      <c r="A20" s="2" t="s">
        <v>10</v>
      </c>
      <c r="B20" s="4">
        <v>12524</v>
      </c>
      <c r="C20" s="4">
        <v>15619</v>
      </c>
      <c r="D20" s="4">
        <v>14195</v>
      </c>
      <c r="E20" s="4">
        <v>24410</v>
      </c>
      <c r="F20" s="23">
        <v>32257</v>
      </c>
      <c r="G20" s="23">
        <f ca="1">F20-'Income Statement'!G16-'Cash Flow '!G25-(F20-'Income Statement'!G16-'Cash Flow '!G25-Dep!E52)</f>
        <v>28793.353966666666</v>
      </c>
      <c r="H20" s="769">
        <f ca="1">+Dep!$E$66</f>
        <v>50932.549688266299</v>
      </c>
      <c r="I20" s="23">
        <f ca="1">G20+H20</f>
        <v>79725.903654932961</v>
      </c>
      <c r="J20" s="23">
        <f ca="1">I20-'Income Statement'!H16-'Cash Flow '!H25+Dep!F68/2</f>
        <v>78642.971927350751</v>
      </c>
      <c r="K20" s="23">
        <f ca="1">J20-'Income Statement'!J16-'Cash Flow '!J25+Dep!G68</f>
        <v>76460.441805519658</v>
      </c>
      <c r="L20" s="23">
        <f ca="1">K20-'Income Statement'!K16-'Cash Flow '!K25+Dep!H68</f>
        <v>74261.245017021894</v>
      </c>
      <c r="M20" s="23">
        <f ca="1">L20-'Income Statement'!L16-'Cash Flow '!L25+Dep!I68</f>
        <v>72045.381561857474</v>
      </c>
      <c r="N20" s="23">
        <f ca="1">M20-'Income Statement'!M16-'Cash Flow '!M25+Dep!J68</f>
        <v>69812.851440026381</v>
      </c>
      <c r="O20" s="18"/>
      <c r="S20" s="18"/>
    </row>
    <row r="21" spans="1:19" x14ac:dyDescent="0.2">
      <c r="B21" s="4"/>
      <c r="C21" s="4"/>
      <c r="D21" s="4"/>
      <c r="E21" s="4"/>
      <c r="F21" s="23"/>
      <c r="G21" s="23"/>
      <c r="H21" s="769"/>
      <c r="I21" s="4"/>
      <c r="J21" s="4"/>
      <c r="K21" s="4"/>
      <c r="L21" s="4"/>
      <c r="M21" s="4"/>
      <c r="N21" s="4"/>
      <c r="O21" s="18"/>
    </row>
    <row r="22" spans="1:19" x14ac:dyDescent="0.2">
      <c r="A22" s="2" t="s">
        <v>11</v>
      </c>
      <c r="B22" s="6">
        <f t="shared" ref="B22:N22" si="3">+B16+B18+B20</f>
        <v>510399</v>
      </c>
      <c r="C22" s="6">
        <f t="shared" si="3"/>
        <v>334018</v>
      </c>
      <c r="D22" s="6">
        <f t="shared" si="3"/>
        <v>301802</v>
      </c>
      <c r="E22" s="6">
        <f t="shared" si="3"/>
        <v>326283</v>
      </c>
      <c r="F22" s="474">
        <f t="shared" si="3"/>
        <v>590981</v>
      </c>
      <c r="G22" s="474">
        <f t="shared" ca="1" si="3"/>
        <v>600585.83320064389</v>
      </c>
      <c r="H22" s="770"/>
      <c r="I22" s="6">
        <f ca="1">+I16+I18+I20</f>
        <v>692487.0400987413</v>
      </c>
      <c r="J22" s="6">
        <f ca="1">+J16+J18+J20</f>
        <v>633658.99137323233</v>
      </c>
      <c r="K22" s="6">
        <f t="shared" ca="1" si="3"/>
        <v>620606.35750784562</v>
      </c>
      <c r="L22" s="6">
        <f t="shared" ca="1" si="3"/>
        <v>624233.02159130247</v>
      </c>
      <c r="M22" s="6">
        <f t="shared" ca="1" si="3"/>
        <v>639356.21517086099</v>
      </c>
      <c r="N22" s="6">
        <f t="shared" ca="1" si="3"/>
        <v>653586.76689869794</v>
      </c>
      <c r="O22" s="18"/>
      <c r="S22" s="18"/>
    </row>
    <row r="23" spans="1:19" x14ac:dyDescent="0.2">
      <c r="B23" s="4"/>
      <c r="C23" s="4"/>
      <c r="D23" s="4"/>
      <c r="E23" s="4"/>
      <c r="F23" s="23"/>
      <c r="G23" s="23"/>
      <c r="H23" s="769"/>
      <c r="I23" s="4"/>
      <c r="J23" s="4"/>
      <c r="K23" s="4"/>
      <c r="L23" s="4"/>
      <c r="M23" s="4"/>
      <c r="N23" s="4"/>
      <c r="O23" s="18"/>
      <c r="S23" s="18"/>
    </row>
    <row r="24" spans="1:19" ht="13.5" x14ac:dyDescent="0.25">
      <c r="A24" s="3" t="s">
        <v>12</v>
      </c>
      <c r="B24" s="4"/>
      <c r="C24" s="4"/>
      <c r="D24" s="4"/>
      <c r="E24" s="4"/>
      <c r="F24" s="23"/>
      <c r="G24" s="23"/>
      <c r="H24" s="769"/>
      <c r="K24" s="4"/>
      <c r="L24" s="4"/>
      <c r="M24" s="4"/>
      <c r="N24" s="4"/>
      <c r="O24" s="18"/>
    </row>
    <row r="25" spans="1:19" x14ac:dyDescent="0.2">
      <c r="B25" s="4"/>
      <c r="C25" s="4"/>
      <c r="D25" s="4"/>
      <c r="E25" s="4"/>
      <c r="F25" s="23"/>
      <c r="G25" s="23"/>
      <c r="H25" s="769"/>
      <c r="I25" s="4"/>
      <c r="J25" s="4"/>
      <c r="K25" s="4"/>
      <c r="L25" s="4"/>
      <c r="M25" s="4"/>
      <c r="N25" s="4"/>
      <c r="O25" s="18"/>
    </row>
    <row r="26" spans="1:19" x14ac:dyDescent="0.2">
      <c r="A26" s="2" t="s">
        <v>14</v>
      </c>
      <c r="B26" s="4"/>
      <c r="C26" s="4"/>
      <c r="D26" s="4"/>
      <c r="E26" s="4"/>
      <c r="F26" s="23"/>
      <c r="G26" s="23"/>
      <c r="H26" s="769"/>
      <c r="I26" s="156"/>
      <c r="J26" s="156"/>
      <c r="K26" s="4"/>
      <c r="L26" s="4"/>
      <c r="M26" s="4"/>
      <c r="N26" s="4"/>
      <c r="O26" s="18"/>
    </row>
    <row r="27" spans="1:19" x14ac:dyDescent="0.2">
      <c r="A27" s="1" t="s">
        <v>15</v>
      </c>
      <c r="B27" s="4">
        <v>128100</v>
      </c>
      <c r="C27" s="4">
        <v>48900</v>
      </c>
      <c r="D27" s="4">
        <v>30800</v>
      </c>
      <c r="E27" s="4">
        <v>53500</v>
      </c>
      <c r="F27" s="23">
        <v>100400</v>
      </c>
      <c r="G27" s="23">
        <f>+F27</f>
        <v>100400</v>
      </c>
      <c r="H27" s="769"/>
      <c r="I27" s="4">
        <f>G27+H27</f>
        <v>100400</v>
      </c>
      <c r="J27" s="4">
        <f>+I27</f>
        <v>100400</v>
      </c>
      <c r="K27" s="4">
        <f>+J27</f>
        <v>100400</v>
      </c>
      <c r="L27" s="4">
        <f>+K27</f>
        <v>100400</v>
      </c>
      <c r="M27" s="4">
        <f>+L27</f>
        <v>100400</v>
      </c>
      <c r="N27" s="4">
        <f>+M27</f>
        <v>100400</v>
      </c>
      <c r="O27" s="18"/>
    </row>
    <row r="28" spans="1:19" x14ac:dyDescent="0.2">
      <c r="A28" s="1" t="s">
        <v>16</v>
      </c>
      <c r="B28" s="506">
        <v>219196</v>
      </c>
      <c r="C28" s="506">
        <v>142287</v>
      </c>
      <c r="D28" s="506">
        <v>87879</v>
      </c>
      <c r="E28" s="506">
        <v>79861</v>
      </c>
      <c r="F28" s="506">
        <v>234856</v>
      </c>
      <c r="G28" s="506">
        <f ca="1">+'Misc Calcs'!D103</f>
        <v>235496.35003587976</v>
      </c>
      <c r="H28" s="769"/>
      <c r="I28" s="506">
        <f ca="1">G28+H28</f>
        <v>235496.35003587976</v>
      </c>
      <c r="J28" s="506">
        <f ca="1">'Misc Calcs'!E103</f>
        <v>228306.23881866841</v>
      </c>
      <c r="K28" s="506">
        <f ca="1">'Misc Calcs'!F103</f>
        <v>236815.51246077745</v>
      </c>
      <c r="L28" s="506">
        <f ca="1">'Misc Calcs'!G103</f>
        <v>240967.42807619361</v>
      </c>
      <c r="M28" s="506">
        <f ca="1">'Misc Calcs'!H103</f>
        <v>249967.28293751847</v>
      </c>
      <c r="N28" s="506">
        <f ca="1">'Misc Calcs'!I103</f>
        <v>258656.25034064768</v>
      </c>
      <c r="O28" s="18"/>
    </row>
    <row r="29" spans="1:19" x14ac:dyDescent="0.2">
      <c r="A29" s="1" t="s">
        <v>17</v>
      </c>
      <c r="B29" s="506">
        <v>32210</v>
      </c>
      <c r="C29" s="506">
        <v>20422</v>
      </c>
      <c r="D29" s="506">
        <v>16168</v>
      </c>
      <c r="E29" s="506">
        <v>24534</v>
      </c>
      <c r="F29" s="506">
        <v>43599</v>
      </c>
      <c r="G29" s="506">
        <f>+F29</f>
        <v>43599</v>
      </c>
      <c r="H29" s="769"/>
      <c r="I29" s="506">
        <f>G29+H29</f>
        <v>43599</v>
      </c>
      <c r="J29" s="506">
        <f>I29</f>
        <v>43599</v>
      </c>
      <c r="K29" s="506">
        <f>J29</f>
        <v>43599</v>
      </c>
      <c r="L29" s="506">
        <f>K29</f>
        <v>43599</v>
      </c>
      <c r="M29" s="506">
        <f>L29</f>
        <v>43599</v>
      </c>
      <c r="N29" s="506">
        <f>M29</f>
        <v>43599</v>
      </c>
      <c r="O29" s="18"/>
    </row>
    <row r="30" spans="1:19" ht="15" x14ac:dyDescent="0.35">
      <c r="A30" s="1" t="s">
        <v>18</v>
      </c>
      <c r="B30" s="507">
        <v>1310</v>
      </c>
      <c r="C30" s="507">
        <v>294</v>
      </c>
      <c r="D30" s="507">
        <v>336</v>
      </c>
      <c r="E30" s="507">
        <v>1151</v>
      </c>
      <c r="F30" s="507">
        <v>2090</v>
      </c>
      <c r="G30" s="507">
        <f ca="1">+'Income Statement'!G33</f>
        <v>4137.9228120129319</v>
      </c>
      <c r="H30" s="769"/>
      <c r="I30" s="507">
        <f ca="1">G30+H30</f>
        <v>4137.9228120129319</v>
      </c>
      <c r="J30" s="507">
        <f ca="1">'Income Statement'!H33</f>
        <v>2854.0101533865727</v>
      </c>
      <c r="K30" s="507">
        <f ca="1">'Income Statement'!J33</f>
        <v>9053.5962934398267</v>
      </c>
      <c r="L30" s="507">
        <f ca="1">'Income Statement'!K33</f>
        <v>12053.995642239792</v>
      </c>
      <c r="M30" s="507">
        <f ca="1">'Income Statement'!L33</f>
        <v>15573.497263231862</v>
      </c>
      <c r="N30" s="507">
        <f ca="1">'Income Statement'!M33</f>
        <v>19133.689003019925</v>
      </c>
      <c r="O30" s="18"/>
    </row>
    <row r="31" spans="1:19" x14ac:dyDescent="0.2">
      <c r="A31" s="1" t="s">
        <v>19</v>
      </c>
      <c r="B31" s="4">
        <f t="shared" ref="B31:N31" si="4">SUM(B27:B30)</f>
        <v>380816</v>
      </c>
      <c r="C31" s="4">
        <f t="shared" si="4"/>
        <v>211903</v>
      </c>
      <c r="D31" s="4">
        <f t="shared" si="4"/>
        <v>135183</v>
      </c>
      <c r="E31" s="4">
        <f t="shared" si="4"/>
        <v>159046</v>
      </c>
      <c r="F31" s="23">
        <f t="shared" si="4"/>
        <v>380945</v>
      </c>
      <c r="G31" s="23">
        <f t="shared" ca="1" si="4"/>
        <v>383633.27284789272</v>
      </c>
      <c r="H31" s="769"/>
      <c r="I31" s="4">
        <f t="shared" ca="1" si="4"/>
        <v>383633.27284789272</v>
      </c>
      <c r="J31" s="4">
        <f t="shared" ca="1" si="4"/>
        <v>375159.24897205498</v>
      </c>
      <c r="K31" s="4">
        <f t="shared" ca="1" si="4"/>
        <v>389868.10875421728</v>
      </c>
      <c r="L31" s="4">
        <f t="shared" ca="1" si="4"/>
        <v>397020.42371843342</v>
      </c>
      <c r="M31" s="4">
        <f t="shared" ca="1" si="4"/>
        <v>409539.78020075028</v>
      </c>
      <c r="N31" s="4">
        <f t="shared" ca="1" si="4"/>
        <v>421788.93934366759</v>
      </c>
      <c r="O31" s="18"/>
    </row>
    <row r="32" spans="1:19" x14ac:dyDescent="0.2">
      <c r="B32" s="4"/>
      <c r="C32" s="4"/>
      <c r="D32" s="4"/>
      <c r="E32" s="4"/>
      <c r="F32" s="23"/>
      <c r="G32" s="23"/>
      <c r="H32" s="769"/>
      <c r="I32" s="4"/>
      <c r="J32" s="4"/>
      <c r="K32" s="4"/>
      <c r="L32" s="4"/>
      <c r="M32" s="4"/>
      <c r="N32" s="4"/>
      <c r="O32" s="18"/>
    </row>
    <row r="33" spans="1:15" x14ac:dyDescent="0.2">
      <c r="A33" s="2" t="s">
        <v>23</v>
      </c>
      <c r="B33" s="4">
        <v>0</v>
      </c>
      <c r="C33" s="4">
        <v>0</v>
      </c>
      <c r="D33" s="4">
        <v>50000</v>
      </c>
      <c r="E33" s="4">
        <v>50000</v>
      </c>
      <c r="F33" s="23">
        <v>80000</v>
      </c>
      <c r="G33" s="23">
        <f>+F33</f>
        <v>80000</v>
      </c>
      <c r="H33" s="769"/>
      <c r="I33" s="4">
        <f>G33+H33</f>
        <v>80000</v>
      </c>
      <c r="J33" s="4">
        <f>+I33</f>
        <v>80000</v>
      </c>
      <c r="K33" s="4">
        <f>+J33</f>
        <v>80000</v>
      </c>
      <c r="L33" s="4">
        <f>+K33</f>
        <v>80000</v>
      </c>
      <c r="M33" s="4">
        <f>+L33</f>
        <v>80000</v>
      </c>
      <c r="N33" s="4">
        <f>+M33</f>
        <v>80000</v>
      </c>
      <c r="O33" s="4"/>
    </row>
    <row r="34" spans="1:15" x14ac:dyDescent="0.2">
      <c r="B34" s="4"/>
      <c r="C34" s="4"/>
      <c r="D34" s="4"/>
      <c r="E34" s="4"/>
      <c r="F34" s="23"/>
      <c r="G34" s="23"/>
      <c r="H34" s="769"/>
      <c r="I34" s="4"/>
      <c r="J34" s="4"/>
      <c r="K34" s="4"/>
      <c r="L34" s="4"/>
      <c r="M34" s="4"/>
      <c r="N34" s="4"/>
      <c r="O34" s="18"/>
    </row>
    <row r="35" spans="1:15" x14ac:dyDescent="0.2">
      <c r="A35" s="2" t="s">
        <v>20</v>
      </c>
      <c r="B35" s="4">
        <v>40041</v>
      </c>
      <c r="C35" s="4">
        <v>8516</v>
      </c>
      <c r="D35" s="4">
        <v>7995</v>
      </c>
      <c r="E35" s="4">
        <v>7040</v>
      </c>
      <c r="F35" s="23">
        <v>7111</v>
      </c>
      <c r="G35" s="23">
        <f>F35+'Cash Flow '!G11</f>
        <v>8473.5608647640238</v>
      </c>
      <c r="H35" s="769"/>
      <c r="I35" s="4">
        <f>G35+H35</f>
        <v>8473.5608647640238</v>
      </c>
      <c r="J35" s="4">
        <f ca="1">I35+'Cash Flow '!H11</f>
        <v>10305.761962916002</v>
      </c>
      <c r="K35" s="4">
        <f ca="1">J35+'Cash Flow '!J11</f>
        <v>16844.47808636773</v>
      </c>
      <c r="L35" s="4">
        <f ca="1">K35+'Cash Flow '!K11</f>
        <v>21460.808736940267</v>
      </c>
      <c r="M35" s="4">
        <f ca="1">L35+'Cash Flow '!L11</f>
        <v>24702.335240218148</v>
      </c>
      <c r="N35" s="4">
        <f ca="1">M35+'Cash Flow '!M11</f>
        <v>26963.386150622231</v>
      </c>
      <c r="O35" s="18"/>
    </row>
    <row r="36" spans="1:15" x14ac:dyDescent="0.2">
      <c r="B36" s="4"/>
      <c r="C36" s="4"/>
      <c r="D36" s="4"/>
      <c r="E36" s="4"/>
      <c r="F36" s="23"/>
      <c r="G36" s="23"/>
      <c r="H36" s="769"/>
      <c r="I36" s="4"/>
      <c r="J36" s="4"/>
      <c r="K36" s="4"/>
      <c r="L36" s="4"/>
      <c r="M36" s="4"/>
      <c r="N36" s="4"/>
      <c r="O36" s="18"/>
    </row>
    <row r="37" spans="1:15" x14ac:dyDescent="0.2">
      <c r="A37" s="2" t="s">
        <v>21</v>
      </c>
      <c r="B37" s="4">
        <v>89542</v>
      </c>
      <c r="C37" s="4">
        <v>113599</v>
      </c>
      <c r="D37" s="4">
        <v>108624</v>
      </c>
      <c r="E37" s="4">
        <v>110197</v>
      </c>
      <c r="F37" s="23">
        <v>122925</v>
      </c>
      <c r="G37" s="23">
        <f ca="1">F37+'Income Statement'!G35+'Cash Flow '!G31-(F20-'Income Statement'!G16-'Cash Flow '!G25-Dep!E52)</f>
        <v>128478.9994879872</v>
      </c>
      <c r="H37" s="769">
        <f ca="1">Goodwill!G10</f>
        <v>91901.206898097298</v>
      </c>
      <c r="I37" s="4">
        <f ca="1">G37+H37</f>
        <v>220380.20638608449</v>
      </c>
      <c r="J37" s="4">
        <f ca="1">I37+'Income Statement'!H35+'Cash Flow '!H31</f>
        <v>168193.98043826138</v>
      </c>
      <c r="K37" s="4">
        <f ca="1">J37+'Income Statement'!J35+'Cash Flow '!J31</f>
        <v>133893.77066726063</v>
      </c>
      <c r="L37" s="4">
        <f ca="1">K37+'Income Statement'!K35+'Cash Flow '!K31</f>
        <v>125751.78913592873</v>
      </c>
      <c r="M37" s="4">
        <f ca="1">L37+'Income Statement'!L35+'Cash Flow '!L31</f>
        <v>125114.09972989236</v>
      </c>
      <c r="N37" s="4">
        <f ca="1">M37+'Income Statement'!M35+'Cash Flow '!M31</f>
        <v>124834.441404408</v>
      </c>
      <c r="O37" s="18"/>
    </row>
    <row r="38" spans="1:15" x14ac:dyDescent="0.2">
      <c r="B38" s="4"/>
      <c r="C38" s="4"/>
      <c r="D38" s="4"/>
      <c r="E38" s="4"/>
      <c r="F38" s="23"/>
      <c r="G38" s="23"/>
      <c r="H38" s="752"/>
      <c r="I38" s="4"/>
      <c r="J38" s="4"/>
      <c r="K38" s="4"/>
      <c r="L38" s="4"/>
      <c r="M38" s="4"/>
      <c r="N38" s="4"/>
      <c r="O38" s="18"/>
    </row>
    <row r="39" spans="1:15" x14ac:dyDescent="0.2">
      <c r="A39" s="2" t="s">
        <v>22</v>
      </c>
      <c r="B39" s="6">
        <f t="shared" ref="B39:N39" si="5">+B31+B35+B37+B33</f>
        <v>510399</v>
      </c>
      <c r="C39" s="6">
        <f t="shared" si="5"/>
        <v>334018</v>
      </c>
      <c r="D39" s="6">
        <f t="shared" si="5"/>
        <v>301802</v>
      </c>
      <c r="E39" s="6">
        <f t="shared" si="5"/>
        <v>326283</v>
      </c>
      <c r="F39" s="474">
        <f t="shared" si="5"/>
        <v>590981</v>
      </c>
      <c r="G39" s="474">
        <f t="shared" ca="1" si="5"/>
        <v>600585.833200644</v>
      </c>
      <c r="H39" s="749"/>
      <c r="I39" s="6">
        <f t="shared" ca="1" si="5"/>
        <v>692487.04009874118</v>
      </c>
      <c r="J39" s="6">
        <f t="shared" ca="1" si="5"/>
        <v>633658.99137323233</v>
      </c>
      <c r="K39" s="6">
        <f t="shared" ca="1" si="5"/>
        <v>620606.35750784562</v>
      </c>
      <c r="L39" s="6">
        <f t="shared" ca="1" si="5"/>
        <v>624233.02159130247</v>
      </c>
      <c r="M39" s="6">
        <f t="shared" ca="1" si="5"/>
        <v>639356.21517086076</v>
      </c>
      <c r="N39" s="6">
        <f t="shared" ca="1" si="5"/>
        <v>653586.76689869782</v>
      </c>
      <c r="O39" s="18"/>
    </row>
    <row r="40" spans="1:15" x14ac:dyDescent="0.2">
      <c r="A40" s="1" t="s">
        <v>24</v>
      </c>
      <c r="B40" s="4">
        <f>B22-B39</f>
        <v>0</v>
      </c>
      <c r="C40" s="4">
        <f t="shared" ref="C40:N40" si="6">C22-C39</f>
        <v>0</v>
      </c>
      <c r="D40" s="4">
        <f t="shared" si="6"/>
        <v>0</v>
      </c>
      <c r="E40" s="4">
        <f t="shared" si="6"/>
        <v>0</v>
      </c>
      <c r="F40" s="4">
        <f t="shared" si="6"/>
        <v>0</v>
      </c>
      <c r="G40" s="4">
        <f t="shared" ca="1" si="6"/>
        <v>0</v>
      </c>
      <c r="H40" s="754" t="str">
        <f>IF(H22-H39=0," ","error")</f>
        <v xml:space="preserve"> </v>
      </c>
      <c r="I40" s="4">
        <f t="shared" ca="1" si="6"/>
        <v>0</v>
      </c>
      <c r="J40" s="4">
        <f t="shared" ca="1" si="6"/>
        <v>0</v>
      </c>
      <c r="K40" s="4">
        <f t="shared" ca="1" si="6"/>
        <v>0</v>
      </c>
      <c r="L40" s="4">
        <f t="shared" ca="1" si="6"/>
        <v>0</v>
      </c>
      <c r="M40" s="4">
        <f t="shared" ca="1" si="6"/>
        <v>0</v>
      </c>
      <c r="N40" s="4">
        <f t="shared" ca="1" si="6"/>
        <v>0</v>
      </c>
    </row>
    <row r="41" spans="1:15" x14ac:dyDescent="0.2">
      <c r="B41" s="4"/>
      <c r="C41" s="4"/>
      <c r="D41" s="4"/>
      <c r="E41" s="4"/>
      <c r="F41" s="4"/>
      <c r="G41" s="4"/>
      <c r="H41" s="4"/>
      <c r="I41" s="4"/>
      <c r="J41" s="4"/>
      <c r="K41" s="4"/>
      <c r="L41" s="4"/>
      <c r="M41" s="4"/>
      <c r="N41" s="4"/>
    </row>
    <row r="42" spans="1:15" outlineLevel="1" x14ac:dyDescent="0.2">
      <c r="A42" s="1" t="s">
        <v>79</v>
      </c>
      <c r="B42" s="4">
        <f t="shared" ref="B42:N42" si="7">+B16-(B31-B27)+B20+B18</f>
        <v>257683</v>
      </c>
      <c r="C42" s="4">
        <f t="shared" si="7"/>
        <v>171015</v>
      </c>
      <c r="D42" s="4">
        <f t="shared" si="7"/>
        <v>197419</v>
      </c>
      <c r="E42" s="4">
        <f t="shared" si="7"/>
        <v>220737</v>
      </c>
      <c r="F42" s="4">
        <f t="shared" si="7"/>
        <v>310436</v>
      </c>
      <c r="G42" s="4">
        <f t="shared" ca="1" si="7"/>
        <v>317352.56035275123</v>
      </c>
      <c r="H42" s="4"/>
      <c r="I42" s="4">
        <f ca="1">+I16-(I31-I27)+I20+I18</f>
        <v>409253.76725084853</v>
      </c>
      <c r="J42" s="4">
        <f ca="1">+J16-(J31-J27)+J20+J18</f>
        <v>358899.74240117735</v>
      </c>
      <c r="K42" s="4">
        <f t="shared" ca="1" si="7"/>
        <v>331138.24875362834</v>
      </c>
      <c r="L42" s="4">
        <f t="shared" ca="1" si="7"/>
        <v>327612.597872869</v>
      </c>
      <c r="M42" s="4">
        <f t="shared" ca="1" si="7"/>
        <v>330216.43497011071</v>
      </c>
      <c r="N42" s="4">
        <f t="shared" ca="1" si="7"/>
        <v>332197.82755503035</v>
      </c>
    </row>
    <row r="43" spans="1:15" outlineLevel="1" x14ac:dyDescent="0.2">
      <c r="A43" s="1" t="s">
        <v>80</v>
      </c>
      <c r="B43" s="4">
        <f t="shared" ref="B43:N43" si="8">+B27+B33+B35+B37</f>
        <v>257683</v>
      </c>
      <c r="C43" s="4">
        <f t="shared" si="8"/>
        <v>171015</v>
      </c>
      <c r="D43" s="4">
        <f t="shared" si="8"/>
        <v>197419</v>
      </c>
      <c r="E43" s="4">
        <f t="shared" si="8"/>
        <v>220737</v>
      </c>
      <c r="F43" s="4">
        <f t="shared" si="8"/>
        <v>310436</v>
      </c>
      <c r="G43" s="4">
        <f t="shared" ca="1" si="8"/>
        <v>317352.56035275123</v>
      </c>
      <c r="H43" s="4"/>
      <c r="I43" s="4">
        <f t="shared" ca="1" si="8"/>
        <v>409253.76725084853</v>
      </c>
      <c r="J43" s="4">
        <f t="shared" ca="1" si="8"/>
        <v>358899.74240117741</v>
      </c>
      <c r="K43" s="4">
        <f t="shared" ca="1" si="8"/>
        <v>331138.24875362834</v>
      </c>
      <c r="L43" s="4">
        <f t="shared" ca="1" si="8"/>
        <v>327612.597872869</v>
      </c>
      <c r="M43" s="4">
        <f t="shared" ca="1" si="8"/>
        <v>330216.43497011054</v>
      </c>
      <c r="N43" s="4">
        <f t="shared" ca="1" si="8"/>
        <v>332197.82755503024</v>
      </c>
    </row>
    <row r="44" spans="1:15" outlineLevel="1" x14ac:dyDescent="0.2"/>
    <row r="45" spans="1:15" outlineLevel="1" x14ac:dyDescent="0.2">
      <c r="A45" s="1" t="s">
        <v>98</v>
      </c>
      <c r="B45" s="18">
        <f t="shared" ref="B45:G45" si="9">SUM(B10:B15)</f>
        <v>486644</v>
      </c>
      <c r="C45" s="18">
        <f t="shared" si="9"/>
        <v>305951</v>
      </c>
      <c r="D45" s="18">
        <f t="shared" si="9"/>
        <v>270384</v>
      </c>
      <c r="E45" s="18">
        <f t="shared" si="9"/>
        <v>285437</v>
      </c>
      <c r="F45" s="18">
        <f t="shared" si="9"/>
        <v>557859</v>
      </c>
      <c r="G45" s="18">
        <f t="shared" ca="1" si="9"/>
        <v>570927.47923397727</v>
      </c>
      <c r="H45" s="18"/>
      <c r="I45" s="18">
        <f t="shared" ref="I45:N45" ca="1" si="10">SUM(I10:I15)</f>
        <v>570927.47923397727</v>
      </c>
      <c r="J45" s="18">
        <f t="shared" ca="1" si="10"/>
        <v>513694.47045117349</v>
      </c>
      <c r="K45" s="18">
        <f t="shared" ca="1" si="10"/>
        <v>503848.58313786366</v>
      </c>
      <c r="L45" s="18">
        <f t="shared" ca="1" si="10"/>
        <v>510698.66044006398</v>
      </c>
      <c r="M45" s="18">
        <f t="shared" ca="1" si="10"/>
        <v>529061.9339050327</v>
      </c>
      <c r="N45" s="18">
        <f t="shared" ca="1" si="10"/>
        <v>546549.23218494654</v>
      </c>
    </row>
    <row r="46" spans="1:15" ht="15" outlineLevel="1" x14ac:dyDescent="0.35">
      <c r="A46" s="1" t="s">
        <v>99</v>
      </c>
      <c r="B46" s="507">
        <f t="shared" ref="B46:G46" si="11">-(B31)</f>
        <v>-380816</v>
      </c>
      <c r="C46" s="507">
        <f t="shared" si="11"/>
        <v>-211903</v>
      </c>
      <c r="D46" s="507">
        <f t="shared" si="11"/>
        <v>-135183</v>
      </c>
      <c r="E46" s="507">
        <f t="shared" si="11"/>
        <v>-159046</v>
      </c>
      <c r="F46" s="507">
        <f t="shared" si="11"/>
        <v>-380945</v>
      </c>
      <c r="G46" s="507">
        <f t="shared" ca="1" si="11"/>
        <v>-383633.27284789272</v>
      </c>
      <c r="H46" s="507"/>
      <c r="I46" s="507">
        <f t="shared" ref="I46:N46" ca="1" si="12">-(I31)</f>
        <v>-383633.27284789272</v>
      </c>
      <c r="J46" s="507">
        <f t="shared" ca="1" si="12"/>
        <v>-375159.24897205498</v>
      </c>
      <c r="K46" s="507">
        <f t="shared" ca="1" si="12"/>
        <v>-389868.10875421728</v>
      </c>
      <c r="L46" s="507">
        <f t="shared" ca="1" si="12"/>
        <v>-397020.42371843342</v>
      </c>
      <c r="M46" s="507">
        <f t="shared" ca="1" si="12"/>
        <v>-409539.78020075028</v>
      </c>
      <c r="N46" s="507">
        <f t="shared" ca="1" si="12"/>
        <v>-421788.93934366759</v>
      </c>
    </row>
    <row r="47" spans="1:15" outlineLevel="1" x14ac:dyDescent="0.2">
      <c r="A47" s="1" t="s">
        <v>100</v>
      </c>
      <c r="B47" s="18">
        <f>+B45+B46</f>
        <v>105828</v>
      </c>
      <c r="C47" s="18">
        <f t="shared" ref="C47:N47" si="13">+C45+C46</f>
        <v>94048</v>
      </c>
      <c r="D47" s="18">
        <f t="shared" si="13"/>
        <v>135201</v>
      </c>
      <c r="E47" s="18">
        <f t="shared" si="13"/>
        <v>126391</v>
      </c>
      <c r="F47" s="18">
        <f t="shared" si="13"/>
        <v>176914</v>
      </c>
      <c r="G47" s="18">
        <f t="shared" ca="1" si="13"/>
        <v>187294.20638608455</v>
      </c>
      <c r="H47" s="18"/>
      <c r="I47" s="18">
        <f t="shared" ca="1" si="13"/>
        <v>187294.20638608455</v>
      </c>
      <c r="J47" s="18">
        <f t="shared" ca="1" si="13"/>
        <v>138535.22147911851</v>
      </c>
      <c r="K47" s="18">
        <f t="shared" ca="1" si="13"/>
        <v>113980.47438364639</v>
      </c>
      <c r="L47" s="18">
        <f t="shared" ca="1" si="13"/>
        <v>113678.23672163056</v>
      </c>
      <c r="M47" s="18">
        <f t="shared" ca="1" si="13"/>
        <v>119522.15370428242</v>
      </c>
      <c r="N47" s="18">
        <f t="shared" ca="1" si="13"/>
        <v>124760.29284127895</v>
      </c>
    </row>
    <row r="48" spans="1:15" outlineLevel="1" x14ac:dyDescent="0.2">
      <c r="A48" s="2" t="s">
        <v>583</v>
      </c>
      <c r="B48" s="20">
        <f>+'Cash Flow '!H29</f>
        <v>0</v>
      </c>
      <c r="C48" s="20">
        <f>-(C47-B47)</f>
        <v>11780</v>
      </c>
      <c r="D48" s="20">
        <f t="shared" ref="D48:N48" si="14">-(D47-C47)</f>
        <v>-41153</v>
      </c>
      <c r="E48" s="20">
        <f t="shared" si="14"/>
        <v>8810</v>
      </c>
      <c r="F48" s="20">
        <f t="shared" si="14"/>
        <v>-50523</v>
      </c>
      <c r="G48" s="20">
        <f t="shared" ca="1" si="14"/>
        <v>-10380.206386084552</v>
      </c>
      <c r="H48" s="20"/>
      <c r="I48" s="20">
        <f ca="1">-(I47-G47)</f>
        <v>0</v>
      </c>
      <c r="J48" s="20">
        <f ca="1">-(J47-I47)</f>
        <v>48758.984906966041</v>
      </c>
      <c r="K48" s="20">
        <f t="shared" ca="1" si="14"/>
        <v>24554.747095472121</v>
      </c>
      <c r="L48" s="20">
        <f t="shared" ca="1" si="14"/>
        <v>302.23766201583203</v>
      </c>
      <c r="M48" s="20">
        <f t="shared" ca="1" si="14"/>
        <v>-5843.9169826518628</v>
      </c>
      <c r="N48" s="20">
        <f t="shared" ca="1" si="14"/>
        <v>-5238.1391369965277</v>
      </c>
    </row>
    <row r="49" spans="1:14" outlineLevel="1" x14ac:dyDescent="0.2"/>
    <row r="50" spans="1:14" outlineLevel="1" x14ac:dyDescent="0.2">
      <c r="B50" s="18"/>
      <c r="C50" s="18"/>
      <c r="D50" s="18"/>
      <c r="E50" s="18"/>
      <c r="F50" s="18"/>
      <c r="G50" s="18"/>
      <c r="H50" s="18"/>
      <c r="I50" s="18"/>
      <c r="J50" s="18"/>
      <c r="K50" s="18"/>
      <c r="L50" s="18"/>
      <c r="M50" s="18"/>
      <c r="N50" s="18"/>
    </row>
    <row r="51" spans="1:14" x14ac:dyDescent="0.2">
      <c r="E51" s="18"/>
      <c r="K51" s="167"/>
      <c r="L51" s="167"/>
      <c r="M51" s="167"/>
      <c r="N51" s="167"/>
    </row>
    <row r="52" spans="1:14" x14ac:dyDescent="0.2">
      <c r="A52" s="1" t="s">
        <v>578</v>
      </c>
      <c r="E52" s="18"/>
      <c r="K52" s="167"/>
      <c r="L52" s="167"/>
      <c r="M52" s="167"/>
      <c r="N52" s="167"/>
    </row>
    <row r="53" spans="1:14" x14ac:dyDescent="0.2">
      <c r="E53" s="18"/>
      <c r="F53" s="18"/>
      <c r="G53" s="18"/>
      <c r="H53" s="18"/>
      <c r="I53" s="18"/>
    </row>
  </sheetData>
  <printOptions horizontalCentered="1"/>
  <pageMargins left="0.75" right="0.75" top="0.53" bottom="1" header="0.5" footer="0.5"/>
  <pageSetup scale="59" orientation="landscape" verticalDpi="200" r:id="rId1"/>
  <headerFooter alignWithMargins="0">
    <oddFooter>&amp;L&amp;7&amp;D &amp;T&amp;C&amp;8&amp;P&amp;R&amp;7o:/Corpdev/North America/Raul/Ammonia/&amp;F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29</vt:i4>
      </vt:variant>
    </vt:vector>
  </HeadingPairs>
  <TitlesOfParts>
    <vt:vector size="76" baseType="lpstr">
      <vt:lpstr>Cover</vt:lpstr>
      <vt:lpstr>S &amp; U</vt:lpstr>
      <vt:lpstr>adj AVP - Trading</vt:lpstr>
      <vt:lpstr>Asset Valuation</vt:lpstr>
      <vt:lpstr>adj AVP - Cons</vt:lpstr>
      <vt:lpstr>Due Diligence</vt:lpstr>
      <vt:lpstr>Fin Exhibits</vt:lpstr>
      <vt:lpstr>Income Statement</vt:lpstr>
      <vt:lpstr>Balance Sheet</vt:lpstr>
      <vt:lpstr>Cash Flow </vt:lpstr>
      <vt:lpstr>Profit &amp; Loss (2)</vt:lpstr>
      <vt:lpstr>Sea-3 NH </vt:lpstr>
      <vt:lpstr>Dep NH</vt:lpstr>
      <vt:lpstr>Sea-3 Tampa</vt:lpstr>
      <vt:lpstr>Dep FL</vt:lpstr>
      <vt:lpstr>Rail Ops</vt:lpstr>
      <vt:lpstr>Dep Rail</vt:lpstr>
      <vt:lpstr>Valuation - DCF</vt:lpstr>
      <vt:lpstr>Dep TA</vt:lpstr>
      <vt:lpstr>Assumptions</vt:lpstr>
      <vt:lpstr>Comparables</vt:lpstr>
      <vt:lpstr>STOP      PRINTING     HERE    </vt:lpstr>
      <vt:lpstr>Dep</vt:lpstr>
      <vt:lpstr>Misc Calcs</vt:lpstr>
      <vt:lpstr>Goodwill</vt:lpstr>
      <vt:lpstr>LOG</vt:lpstr>
      <vt:lpstr>Profit &amp; Loss</vt:lpstr>
      <vt:lpstr>Tax </vt:lpstr>
      <vt:lpstr>tim1</vt:lpstr>
      <vt:lpstr>Summaries</vt:lpstr>
      <vt:lpstr>T. Tons</vt:lpstr>
      <vt:lpstr>T. Profits</vt:lpstr>
      <vt:lpstr>T. Margins</vt:lpstr>
      <vt:lpstr>T. Profitability</vt:lpstr>
      <vt:lpstr>Bonuses</vt:lpstr>
      <vt:lpstr>Sov Risk</vt:lpstr>
      <vt:lpstr>Value</vt:lpstr>
      <vt:lpstr>Segments</vt:lpstr>
      <vt:lpstr>INV</vt:lpstr>
      <vt:lpstr>AR</vt:lpstr>
      <vt:lpstr>AP</vt:lpstr>
      <vt:lpstr>AVP - Consolidated</vt:lpstr>
      <vt:lpstr>AVP - Trading</vt:lpstr>
      <vt:lpstr>AVP -PP&amp;E</vt:lpstr>
      <vt:lpstr>Valuations Summary</vt:lpstr>
      <vt:lpstr>Financial Summary</vt:lpstr>
      <vt:lpstr>Timeline</vt:lpstr>
      <vt:lpstr>'adj AVP - Cons'!Print_Area</vt:lpstr>
      <vt:lpstr>'adj AVP - Trading'!Print_Area</vt:lpstr>
      <vt:lpstr>AP!Print_Area</vt:lpstr>
      <vt:lpstr>AR!Print_Area</vt:lpstr>
      <vt:lpstr>'Asset Valuation'!Print_Area</vt:lpstr>
      <vt:lpstr>Assumptions!Print_Area</vt:lpstr>
      <vt:lpstr>'AVP - Consolidated'!Print_Area</vt:lpstr>
      <vt:lpstr>'AVP - Trading'!Print_Area</vt:lpstr>
      <vt:lpstr>'AVP -PP&amp;E'!Print_Area</vt:lpstr>
      <vt:lpstr>Bonuses!Print_Area</vt:lpstr>
      <vt:lpstr>Comparables!Print_Area</vt:lpstr>
      <vt:lpstr>Dep!Print_Area</vt:lpstr>
      <vt:lpstr>'Dep FL'!Print_Area</vt:lpstr>
      <vt:lpstr>'Dep NH'!Print_Area</vt:lpstr>
      <vt:lpstr>'Dep Rail'!Print_Area</vt:lpstr>
      <vt:lpstr>'Dep TA'!Print_Area</vt:lpstr>
      <vt:lpstr>'Due Diligence'!Print_Area</vt:lpstr>
      <vt:lpstr>'Income Statement'!Print_Area</vt:lpstr>
      <vt:lpstr>INV!Print_Area</vt:lpstr>
      <vt:lpstr>LOG!Print_Area</vt:lpstr>
      <vt:lpstr>'Misc Calcs'!Print_Area</vt:lpstr>
      <vt:lpstr>'Profit &amp; Loss'!Print_Area</vt:lpstr>
      <vt:lpstr>'Profit &amp; Loss (2)'!Print_Area</vt:lpstr>
      <vt:lpstr>'S &amp; U'!Print_Area</vt:lpstr>
      <vt:lpstr>Segments!Print_Area</vt:lpstr>
      <vt:lpstr>tim1!Print_Area</vt:lpstr>
      <vt:lpstr>'Valuation - DCF'!Print_Area</vt:lpstr>
      <vt:lpstr>'Valuations Summary'!Print_Area</vt:lpstr>
      <vt:lpstr>'Valuation - DCF'!Print_Titles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Rizo-Patron</dc:creator>
  <cp:lastModifiedBy>Jan Havlíček</cp:lastModifiedBy>
  <cp:lastPrinted>2001-03-15T16:13:14Z</cp:lastPrinted>
  <dcterms:created xsi:type="dcterms:W3CDTF">2000-11-17T17:13:42Z</dcterms:created>
  <dcterms:modified xsi:type="dcterms:W3CDTF">2023-09-13T09:59:35Z</dcterms:modified>
</cp:coreProperties>
</file>