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36220CD-4C70-4276-9A23-F6A9BDD75294}" xr6:coauthVersionLast="47" xr6:coauthVersionMax="47" xr10:uidLastSave="{00000000-0000-0000-0000-000000000000}"/>
  <bookViews>
    <workbookView xWindow="-120" yWindow="-120" windowWidth="23280" windowHeight="12480" tabRatio="804" activeTab="8"/>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ification" sheetId="15" r:id="rId9"/>
  </sheets>
  <externalReferences>
    <externalReference r:id="rId10"/>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mar01">#REF!</definedName>
    <definedName name="database_may01">#REF!</definedName>
    <definedName name="database_nov">#REF!</definedName>
    <definedName name="_xlnm.Print_Area" localSheetId="5">'Cert Apr-01'!$A$1:$G$106</definedName>
    <definedName name="_xlnm.Print_Area" localSheetId="1">'Cert Dec-00'!$A$1:$G$89</definedName>
    <definedName name="_xlnm.Print_Area" localSheetId="3">'Cert Feb-01'!$A$1:$G$114</definedName>
    <definedName name="_xlnm.Print_Area" localSheetId="2">'Cert Jan-01'!$A$1:$G$97</definedName>
    <definedName name="_xlnm.Print_Area" localSheetId="7">'Cert Jun-01'!$A$1:$G$112</definedName>
    <definedName name="_xlnm.Print_Area" localSheetId="4">'Cert Mar-01'!$A$1:$G$120</definedName>
    <definedName name="_xlnm.Print_Area" localSheetId="6">'Cert May-01'!$A$1:$G$112</definedName>
    <definedName name="_xlnm.Print_Area" localSheetId="0">'Cert Nov-00'!$A$1:$G$79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8" i="26" l="1"/>
  <c r="G15" i="26"/>
  <c r="G16" i="26"/>
  <c r="G17" i="26"/>
  <c r="G18" i="26"/>
  <c r="G19" i="26"/>
  <c r="G20" i="26"/>
  <c r="G21" i="26"/>
  <c r="G22" i="26"/>
  <c r="G23" i="26"/>
  <c r="G24" i="26"/>
  <c r="G25" i="26"/>
  <c r="F26" i="26"/>
  <c r="G26" i="26"/>
  <c r="G27" i="26"/>
  <c r="G28" i="26"/>
  <c r="F29" i="26"/>
  <c r="G29" i="26"/>
  <c r="G30" i="26"/>
  <c r="G31" i="26"/>
  <c r="G32" i="26"/>
  <c r="G33" i="26"/>
  <c r="G34" i="26"/>
  <c r="G35" i="26"/>
  <c r="G36" i="26"/>
  <c r="G37" i="26"/>
  <c r="G38" i="26"/>
  <c r="G39" i="26"/>
  <c r="G40" i="26"/>
  <c r="G41" i="26"/>
  <c r="G42" i="26"/>
  <c r="G43" i="26"/>
  <c r="G44" i="26"/>
  <c r="G45" i="26"/>
  <c r="F47" i="26"/>
  <c r="G47" i="26"/>
  <c r="B52" i="26"/>
  <c r="B54" i="26"/>
  <c r="G59" i="26"/>
  <c r="G60" i="26"/>
  <c r="F61" i="26"/>
  <c r="G61" i="26"/>
  <c r="F64" i="26"/>
  <c r="F66" i="26"/>
  <c r="G66" i="26"/>
  <c r="F69" i="26"/>
  <c r="F70" i="26"/>
  <c r="F71" i="26"/>
  <c r="F73" i="26"/>
  <c r="F75" i="26"/>
  <c r="G75" i="26"/>
  <c r="G77" i="26"/>
  <c r="F79" i="26"/>
  <c r="G79" i="26"/>
  <c r="G84" i="26"/>
  <c r="G85" i="26"/>
  <c r="F86" i="26"/>
  <c r="G86" i="26"/>
  <c r="F91" i="26"/>
  <c r="G91" i="26"/>
  <c r="F98" i="26"/>
  <c r="F103" i="26"/>
  <c r="G103" i="26"/>
  <c r="F105" i="26"/>
  <c r="G105" i="26"/>
  <c r="G10" i="13"/>
  <c r="G20" i="13"/>
  <c r="G21" i="13"/>
  <c r="G22" i="13"/>
  <c r="G23" i="13"/>
  <c r="G24" i="13"/>
  <c r="G25" i="13"/>
  <c r="G26" i="13"/>
  <c r="G27" i="13"/>
  <c r="F29" i="13"/>
  <c r="G29" i="13"/>
  <c r="B36" i="13"/>
  <c r="G42" i="13"/>
  <c r="G43" i="13"/>
  <c r="F44" i="13"/>
  <c r="G44" i="13"/>
  <c r="F46" i="13"/>
  <c r="F49" i="13"/>
  <c r="F50" i="13"/>
  <c r="G50" i="13"/>
  <c r="F52" i="13"/>
  <c r="F54" i="13"/>
  <c r="F55" i="13"/>
  <c r="F56" i="13"/>
  <c r="F57" i="13"/>
  <c r="F58" i="13"/>
  <c r="F60" i="13"/>
  <c r="F62" i="13"/>
  <c r="G62" i="13"/>
  <c r="F64" i="13"/>
  <c r="G64" i="13"/>
  <c r="F68" i="13"/>
  <c r="G68" i="13"/>
  <c r="G69" i="13"/>
  <c r="F70" i="13"/>
  <c r="G70" i="13"/>
  <c r="F77" i="13"/>
  <c r="G77" i="13"/>
  <c r="F79" i="13"/>
  <c r="F80" i="13"/>
  <c r="F81" i="13"/>
  <c r="F83" i="13"/>
  <c r="F86" i="13"/>
  <c r="G86" i="13"/>
  <c r="F88" i="13"/>
  <c r="G88" i="13"/>
  <c r="G8" i="22"/>
  <c r="G15" i="22"/>
  <c r="G16" i="22"/>
  <c r="G17" i="22"/>
  <c r="G18" i="22"/>
  <c r="G19" i="22"/>
  <c r="G20" i="22"/>
  <c r="G21" i="22"/>
  <c r="G22" i="22"/>
  <c r="F23" i="22"/>
  <c r="G23" i="22"/>
  <c r="F24" i="22"/>
  <c r="G24" i="22"/>
  <c r="G25" i="22"/>
  <c r="F26" i="22"/>
  <c r="G26" i="22"/>
  <c r="G27" i="22"/>
  <c r="G28" i="22"/>
  <c r="G29" i="22"/>
  <c r="G30" i="22"/>
  <c r="G31" i="22"/>
  <c r="G32" i="22"/>
  <c r="G33" i="22"/>
  <c r="G34" i="22"/>
  <c r="G35" i="22"/>
  <c r="G36" i="22"/>
  <c r="F37" i="22"/>
  <c r="G37" i="22"/>
  <c r="G38" i="22"/>
  <c r="G39" i="22"/>
  <c r="G40" i="22"/>
  <c r="F41" i="22"/>
  <c r="G41" i="22"/>
  <c r="G42" i="22"/>
  <c r="G43" i="22"/>
  <c r="G44" i="22"/>
  <c r="G45" i="22"/>
  <c r="G46" i="22"/>
  <c r="G47" i="22"/>
  <c r="G48" i="22"/>
  <c r="G49" i="22"/>
  <c r="G50" i="22"/>
  <c r="G51" i="22"/>
  <c r="F53" i="22"/>
  <c r="G53" i="22"/>
  <c r="B57" i="22"/>
  <c r="B59" i="22"/>
  <c r="G63" i="22"/>
  <c r="G64" i="22"/>
  <c r="F65" i="22"/>
  <c r="G65" i="22"/>
  <c r="F73" i="22"/>
  <c r="G73" i="22"/>
  <c r="F78" i="22"/>
  <c r="F79" i="22"/>
  <c r="F80" i="22"/>
  <c r="F83" i="22"/>
  <c r="G83" i="22"/>
  <c r="G85" i="22"/>
  <c r="F87" i="22"/>
  <c r="G87" i="22"/>
  <c r="G91" i="22"/>
  <c r="G92" i="22"/>
  <c r="F93" i="22"/>
  <c r="G93" i="22"/>
  <c r="F100" i="22"/>
  <c r="G100" i="22"/>
  <c r="F102" i="22"/>
  <c r="F103" i="22"/>
  <c r="F104" i="22"/>
  <c r="F105" i="22"/>
  <c r="F106" i="22"/>
  <c r="F107" i="22"/>
  <c r="F112" i="22"/>
  <c r="G112" i="22"/>
  <c r="F114" i="22"/>
  <c r="G114" i="22"/>
  <c r="G10" i="17"/>
  <c r="F20" i="17"/>
  <c r="G20" i="17"/>
  <c r="G21" i="17"/>
  <c r="G22" i="17"/>
  <c r="G23" i="17"/>
  <c r="G24" i="17"/>
  <c r="G25" i="17"/>
  <c r="G26" i="17"/>
  <c r="G27" i="17"/>
  <c r="G28" i="17"/>
  <c r="G29" i="17"/>
  <c r="F30" i="17"/>
  <c r="G30" i="17"/>
  <c r="G31" i="17"/>
  <c r="G32" i="17"/>
  <c r="G33" i="17"/>
  <c r="G34" i="17"/>
  <c r="G35" i="17"/>
  <c r="F37" i="17"/>
  <c r="G37" i="17"/>
  <c r="B47" i="17"/>
  <c r="G53" i="17"/>
  <c r="G54" i="17"/>
  <c r="F55" i="17"/>
  <c r="G55" i="17"/>
  <c r="F59" i="17"/>
  <c r="G59" i="17"/>
  <c r="F62" i="17"/>
  <c r="F64" i="17"/>
  <c r="F65" i="17"/>
  <c r="G65" i="17"/>
  <c r="F67" i="17"/>
  <c r="G67" i="17"/>
  <c r="F69" i="17"/>
  <c r="G69" i="17"/>
  <c r="G73" i="17"/>
  <c r="G74" i="17"/>
  <c r="F75" i="17"/>
  <c r="G75" i="17"/>
  <c r="F79" i="17"/>
  <c r="G79" i="17"/>
  <c r="F81" i="17"/>
  <c r="F82" i="17"/>
  <c r="F83" i="17"/>
  <c r="F84" i="17"/>
  <c r="F85" i="17"/>
  <c r="F87" i="17"/>
  <c r="F89" i="17"/>
  <c r="G89" i="17"/>
  <c r="F91" i="17"/>
  <c r="G91" i="17"/>
  <c r="F95" i="17"/>
  <c r="F96" i="17"/>
  <c r="F97" i="17"/>
  <c r="G9"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F58" i="31"/>
  <c r="G58" i="31"/>
  <c r="B63" i="31"/>
  <c r="B65" i="31"/>
  <c r="G70" i="31"/>
  <c r="G71" i="31"/>
  <c r="F72" i="31"/>
  <c r="G72" i="31"/>
  <c r="F76" i="31"/>
  <c r="G76" i="31"/>
  <c r="F83" i="31"/>
  <c r="G83" i="31"/>
  <c r="G85" i="31"/>
  <c r="F87" i="31"/>
  <c r="G87" i="31"/>
  <c r="G92" i="31"/>
  <c r="G93" i="31"/>
  <c r="F94" i="31"/>
  <c r="G94" i="31"/>
  <c r="F97" i="31"/>
  <c r="G97" i="31"/>
  <c r="F109" i="31"/>
  <c r="G109" i="31"/>
  <c r="F111" i="31"/>
  <c r="G111" i="31"/>
  <c r="G8" i="25"/>
  <c r="G15" i="25"/>
  <c r="G16" i="25"/>
  <c r="G17" i="25"/>
  <c r="G18" i="25"/>
  <c r="G19" i="25"/>
  <c r="G20" i="25"/>
  <c r="G21" i="25"/>
  <c r="G22" i="25"/>
  <c r="G23" i="25"/>
  <c r="G24" i="25"/>
  <c r="G25" i="25"/>
  <c r="G26" i="25"/>
  <c r="G27" i="25"/>
  <c r="G28" i="25"/>
  <c r="G29" i="25"/>
  <c r="G30" i="25"/>
  <c r="G31" i="25"/>
  <c r="G32" i="25"/>
  <c r="G33" i="25"/>
  <c r="G34" i="25"/>
  <c r="G35" i="25"/>
  <c r="G36" i="25"/>
  <c r="G37" i="25"/>
  <c r="F38" i="25"/>
  <c r="G38" i="25"/>
  <c r="G39" i="25"/>
  <c r="F40" i="25"/>
  <c r="G40" i="25"/>
  <c r="G41" i="25"/>
  <c r="G42" i="25"/>
  <c r="G43" i="25"/>
  <c r="G44" i="25"/>
  <c r="G45" i="25"/>
  <c r="G46" i="25"/>
  <c r="G47" i="25"/>
  <c r="G48" i="25"/>
  <c r="G49" i="25"/>
  <c r="G50" i="25"/>
  <c r="G51" i="25"/>
  <c r="G52" i="25"/>
  <c r="G53" i="25"/>
  <c r="F55" i="25"/>
  <c r="G55" i="25"/>
  <c r="B60" i="25"/>
  <c r="B62" i="25"/>
  <c r="G66" i="25"/>
  <c r="G67" i="25"/>
  <c r="F68" i="25"/>
  <c r="G68" i="25"/>
  <c r="F72" i="25"/>
  <c r="F73" i="25"/>
  <c r="G73" i="25"/>
  <c r="F80" i="25"/>
  <c r="F84" i="25"/>
  <c r="G84" i="25"/>
  <c r="G86" i="25"/>
  <c r="F88" i="25"/>
  <c r="G88" i="25"/>
  <c r="G92" i="25"/>
  <c r="G93" i="25"/>
  <c r="F94" i="25"/>
  <c r="G94" i="25"/>
  <c r="F99" i="25"/>
  <c r="G99" i="25"/>
  <c r="F102" i="25"/>
  <c r="F104" i="25"/>
  <c r="F109" i="25"/>
  <c r="F113" i="25"/>
  <c r="G113" i="25"/>
  <c r="F115" i="25"/>
  <c r="G115" i="25"/>
  <c r="F119" i="25"/>
  <c r="F120" i="25"/>
  <c r="G9" i="28"/>
  <c r="G17" i="28"/>
  <c r="G18" i="28"/>
  <c r="G19" i="28"/>
  <c r="G20" i="28"/>
  <c r="G21" i="28"/>
  <c r="G22" i="28"/>
  <c r="G23" i="28"/>
  <c r="G24" i="28"/>
  <c r="G25" i="28"/>
  <c r="G26" i="28"/>
  <c r="G27" i="28"/>
  <c r="G28" i="28"/>
  <c r="G29" i="28"/>
  <c r="G30" i="28"/>
  <c r="G31" i="28"/>
  <c r="G32" i="28"/>
  <c r="G33" i="28"/>
  <c r="G34" i="28"/>
  <c r="G35" i="28"/>
  <c r="G36" i="28"/>
  <c r="G37" i="28"/>
  <c r="G38" i="28"/>
  <c r="G39" i="28"/>
  <c r="G40" i="28"/>
  <c r="F41" i="28"/>
  <c r="G41" i="28"/>
  <c r="G42" i="28"/>
  <c r="F43" i="28"/>
  <c r="G43" i="28"/>
  <c r="G44" i="28"/>
  <c r="G45" i="28"/>
  <c r="G46" i="28"/>
  <c r="G47" i="28"/>
  <c r="G48" i="28"/>
  <c r="G49" i="28"/>
  <c r="F50" i="28"/>
  <c r="G50" i="28"/>
  <c r="F52" i="28"/>
  <c r="G52" i="28"/>
  <c r="B57" i="28"/>
  <c r="B59" i="28"/>
  <c r="G64" i="28"/>
  <c r="G65" i="28"/>
  <c r="F66" i="28"/>
  <c r="G66" i="28"/>
  <c r="F71" i="28"/>
  <c r="G71" i="28"/>
  <c r="F79" i="28"/>
  <c r="G79" i="28"/>
  <c r="G81" i="28"/>
  <c r="F83" i="28"/>
  <c r="G83" i="28"/>
  <c r="G88" i="28"/>
  <c r="G89" i="28"/>
  <c r="F90" i="28"/>
  <c r="G90" i="28"/>
  <c r="F94" i="28"/>
  <c r="G94" i="28"/>
  <c r="F97" i="28"/>
  <c r="F98" i="28"/>
  <c r="F99" i="28"/>
  <c r="F100" i="28"/>
  <c r="F104" i="28"/>
  <c r="G104" i="28"/>
  <c r="F106" i="28"/>
  <c r="G106" i="28"/>
  <c r="F110" i="28"/>
  <c r="F111" i="28"/>
  <c r="G10" i="11"/>
  <c r="G20" i="11"/>
  <c r="G21" i="11"/>
  <c r="F23" i="11"/>
  <c r="G23" i="11"/>
  <c r="B25" i="11"/>
  <c r="G31" i="11"/>
  <c r="F32" i="11"/>
  <c r="G32" i="11"/>
  <c r="F33" i="11"/>
  <c r="G33" i="11"/>
  <c r="F39" i="11"/>
  <c r="G39" i="11"/>
  <c r="F45" i="11"/>
  <c r="G45" i="11"/>
  <c r="F47" i="11"/>
  <c r="G47" i="11"/>
  <c r="G52" i="11"/>
  <c r="G53" i="11"/>
  <c r="F54" i="11"/>
  <c r="G54" i="11"/>
  <c r="F61" i="11"/>
  <c r="G61" i="11"/>
  <c r="F67" i="11"/>
  <c r="F71" i="11"/>
  <c r="F76" i="11"/>
  <c r="G76" i="11"/>
  <c r="F78" i="11"/>
  <c r="G78" i="11"/>
</calcChain>
</file>

<file path=xl/sharedStrings.xml><?xml version="1.0" encoding="utf-8"?>
<sst xmlns="http://schemas.openxmlformats.org/spreadsheetml/2006/main" count="906" uniqueCount="223">
  <si>
    <t>British Columbia Power Exchange</t>
  </si>
  <si>
    <t>City of Anaheim</t>
  </si>
  <si>
    <t>City of Glendale</t>
  </si>
  <si>
    <t>Coral Power, LLC</t>
  </si>
  <si>
    <t>Idaho Power Company</t>
  </si>
  <si>
    <t>Koch Energy Trading</t>
  </si>
  <si>
    <t>Puget Sound Energy</t>
  </si>
  <si>
    <t>Salt River Project</t>
  </si>
  <si>
    <t>Seattle City Light</t>
  </si>
  <si>
    <t>Sierra Pacific Power Company</t>
  </si>
  <si>
    <t>Unpaid Balance</t>
  </si>
  <si>
    <t xml:space="preserve"> #</t>
  </si>
  <si>
    <t>Date</t>
  </si>
  <si>
    <t>Customer Name</t>
  </si>
  <si>
    <t>California Power Exchange</t>
  </si>
  <si>
    <t>Type</t>
  </si>
  <si>
    <t>Mkt</t>
  </si>
  <si>
    <t>Inv #</t>
  </si>
  <si>
    <t>Total Due From SCs (Debtors)</t>
  </si>
  <si>
    <t>ISO Creditors to whom amounts are Owed</t>
  </si>
  <si>
    <t xml:space="preserve">Signature: </t>
  </si>
  <si>
    <t>Certification: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</si>
  <si>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</si>
  <si>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</si>
  <si>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</si>
  <si>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</si>
  <si>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</si>
  <si>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</si>
  <si>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</si>
  <si>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</si>
  <si>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</si>
  <si>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</si>
  <si>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</si>
  <si>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</si>
  <si>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</si>
  <si>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</si>
  <si>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</si>
  <si>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</si>
  <si>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</si>
  <si>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</si>
  <si>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</si>
  <si>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</si>
  <si>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</si>
  <si>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</si>
  <si>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</si>
  <si>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</si>
  <si>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</si>
  <si>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</si>
  <si>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</si>
  <si>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</si>
  <si>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</si>
  <si>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</si>
  <si>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</si>
  <si>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</si>
  <si>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</si>
  <si>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</si>
  <si>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</si>
  <si>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</si>
  <si>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</si>
  <si>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</si>
  <si>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</si>
  <si>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</si>
  <si>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</si>
  <si>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</si>
  <si>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</si>
  <si>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</si>
  <si>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</si>
  <si>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</si>
  <si>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</si>
  <si>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</si>
  <si>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</si>
  <si>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</si>
  <si>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</si>
  <si>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</si>
  <si>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</si>
  <si>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</si>
  <si>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</si>
  <si>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</si>
  <si>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</si>
  <si>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</si>
  <si>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</si>
  <si>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</si>
  <si>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</si>
  <si>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</si>
  <si>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</si>
  <si>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</si>
  <si>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</si>
  <si>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</si>
  <si>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</si>
  <si>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</si>
  <si>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Preliminary and final invoices are attached.</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</si>
  <si>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</si>
  <si>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</si>
  <si>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</si>
  <si>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</si>
  <si>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</si>
  <si>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</si>
  <si>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</si>
  <si>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</si>
  <si>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</si>
  <si>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</si>
  <si>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</si>
  <si>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</si>
  <si>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</si>
  <si>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</si>
  <si>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</si>
  <si>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</si>
  <si>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</si>
  <si>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</si>
  <si>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</si>
  <si>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</si>
  <si>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</si>
  <si>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</si>
  <si>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</si>
  <si>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</si>
  <si>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</si>
  <si>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</si>
  <si>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</si>
  <si>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</si>
  <si>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</si>
  <si>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</si>
  <si>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</si>
  <si>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</si>
  <si>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</si>
  <si>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</si>
  <si>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</si>
  <si>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</si>
  <si>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</si>
  <si>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</si>
  <si>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</si>
  <si>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</si>
  <si>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</si>
  <si>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</si>
  <si>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</si>
  <si>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</si>
  <si>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</si>
  <si>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</si>
  <si>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</si>
  <si>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</si>
  <si>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</si>
  <si>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</si>
  <si>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</si>
  <si>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</si>
  <si>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</si>
  <si>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</si>
  <si>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</si>
  <si>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</si>
  <si>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</si>
  <si>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</si>
  <si>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</si>
  <si>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</si>
  <si>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</si>
  <si>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</si>
  <si>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</si>
  <si>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</si>
  <si>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</si>
  <si>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</si>
  <si>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</si>
  <si>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</si>
  <si>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</si>
  <si>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</si>
  <si>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</si>
  <si>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</si>
  <si>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</si>
  <si>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</si>
  <si>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</si>
  <si>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</si>
  <si>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</si>
  <si>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</si>
  <si>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</si>
  <si>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</si>
  <si>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</si>
  <si>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</si>
  <si>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</si>
  <si>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</si>
  <si>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</si>
  <si>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</si>
  <si>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</si>
  <si>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</si>
  <si>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</si>
  <si>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</si>
  <si>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</si>
  <si>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</si>
  <si>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</si>
  <si>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</si>
  <si>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</si>
  <si>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Pacific Gas and Electric (California Power Exchange) (a)</t>
  </si>
  <si>
    <t>Pacific Gas and Electric Company (a)</t>
  </si>
  <si>
    <t xml:space="preserve">Coral Power, LLC </t>
  </si>
  <si>
    <t>Pacific Gas and Electric (California PX) (a)</t>
  </si>
  <si>
    <t>Collected 8/1/01</t>
  </si>
  <si>
    <t>Collected 8/21/01</t>
  </si>
  <si>
    <t xml:space="preserve">Add Uncollected May-01 GMC </t>
  </si>
  <si>
    <t xml:space="preserve">Offset against Apr-01 Market AP </t>
  </si>
  <si>
    <t>May 2001</t>
  </si>
  <si>
    <t>Certification for Market Settlement September 28,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</si>
  <si>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</si>
  <si>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</si>
  <si>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</si>
  <si>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</si>
  <si>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</si>
  <si>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</si>
  <si>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</si>
  <si>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</si>
  <si>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</si>
  <si>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</si>
  <si>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</si>
  <si>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</si>
  <si>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</si>
  <si>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</si>
  <si>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</si>
  <si>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</si>
  <si>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Total Due to 38 SCs (Creditors)</t>
  </si>
  <si>
    <t>Aquila Power Corpporation</t>
  </si>
  <si>
    <t>Cuitizens Power Sales</t>
  </si>
  <si>
    <t>El Paso Power Services</t>
  </si>
  <si>
    <t>Collected 9/20/01</t>
  </si>
  <si>
    <t xml:space="preserve">Add Uncollected Jun-01 GMC </t>
  </si>
  <si>
    <t>Cancelled Jun-01 Market AR invoices</t>
  </si>
  <si>
    <t>June 2001</t>
  </si>
  <si>
    <t>Dated:  September 28, 2001</t>
  </si>
  <si>
    <t xml:space="preserve">Certification for Market Settlement September 28, 2001 </t>
  </si>
  <si>
    <t>/s/   William J. Regan,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</si>
</sst>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78" formatCode="0.0000%"/>
    <numFmt numFmtId="181" formatCode="0.000%"/>
    <numFmt numFmtId="183" formatCode="dd\-mmm\-yy"/>
  </numFmts>
  <fonts count="13"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
      <i/>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78" fontId="0" fillId="0" borderId="0" xfId="0" applyNumberFormat="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17" fontId="6" fillId="0" borderId="0" xfId="0" applyNumberFormat="1" applyFont="1" applyAlignment="1">
      <alignment horizontal="center"/>
    </xf>
    <xf numFmtId="17" fontId="6" fillId="0" borderId="3" xfId="0" applyNumberFormat="1" applyFont="1" applyBorder="1" applyAlignment="1">
      <alignment horizontal="center"/>
    </xf>
    <xf numFmtId="0" fontId="12" fillId="0" borderId="5" xfId="0" applyFont="1" applyBorder="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79"/>
  <sheetViews>
    <sheetView zoomScaleNormal="100" zoomScaleSheetLayoutView="100" workbookViewId="0">
      <selection activeCell="F14" sqref="F14"/>
    </sheetView>
  </sheetViews>
  <sheetFormatPr defaultRowHeight="12.75" x14ac:dyDescent="0.2"/>
  <cols>
    <col min="1" max="1" width="5" style="8" bestFit="1" customWidth="1"/>
    <col min="2" max="2" width="47" customWidth="1"/>
    <col min="3" max="3" width="8.140625" style="8" bestFit="1" customWidth="1"/>
    <col min="4" max="4" width="6" style="12" bestFit="1" customWidth="1"/>
    <col min="5" max="5" width="5" style="12" customWidth="1"/>
    <col min="6" max="6" width="16.7109375" customWidth="1"/>
    <col min="7" max="7" width="9.28515625" customWidth="1"/>
  </cols>
  <sheetData>
    <row r="1" spans="1:7" ht="15.75" x14ac:dyDescent="0.25">
      <c r="B1" s="53" t="s">
        <v>195</v>
      </c>
    </row>
    <row r="2" spans="1:7" ht="15.75" x14ac:dyDescent="0.25">
      <c r="B2" s="41"/>
    </row>
    <row r="3" spans="1:7" ht="15.75" x14ac:dyDescent="0.25">
      <c r="B3" s="53" t="s">
        <v>49</v>
      </c>
    </row>
    <row r="4" spans="1:7" ht="15.75" x14ac:dyDescent="0.25">
      <c r="B4" s="41"/>
    </row>
    <row r="5" spans="1:7" ht="15.75" x14ac:dyDescent="0.25">
      <c r="B5" s="41"/>
    </row>
    <row r="6" spans="1:7" ht="15.75" x14ac:dyDescent="0.25">
      <c r="B6" s="41"/>
    </row>
    <row r="7" spans="1:7" ht="16.5" thickBot="1" x14ac:dyDescent="0.3">
      <c r="A7" s="10" t="s">
        <v>19</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122</v>
      </c>
      <c r="C10" s="85">
        <v>36831</v>
      </c>
      <c r="D10" s="14"/>
      <c r="E10" s="14"/>
      <c r="F10" s="30">
        <v>498275053.57999998</v>
      </c>
      <c r="G10" s="20">
        <f>+F10/F$10</f>
        <v>1</v>
      </c>
    </row>
    <row r="11" spans="1:7" ht="16.5" thickTop="1" x14ac:dyDescent="0.25">
      <c r="B11" s="41"/>
    </row>
    <row r="12" spans="1:7" ht="15.75" x14ac:dyDescent="0.25">
      <c r="B12" s="41"/>
    </row>
    <row r="13" spans="1:7" ht="15.75" x14ac:dyDescent="0.25">
      <c r="B13" s="41"/>
    </row>
    <row r="14" spans="1:7" ht="15.75" x14ac:dyDescent="0.25">
      <c r="B14" s="41"/>
    </row>
    <row r="15" spans="1:7" ht="15.75" x14ac:dyDescent="0.25">
      <c r="B15" s="41"/>
    </row>
    <row r="16" spans="1:7" ht="15.75" x14ac:dyDescent="0.25">
      <c r="A16" s="10" t="s">
        <v>48</v>
      </c>
    </row>
    <row r="17" spans="1:7" ht="16.5" thickBot="1" x14ac:dyDescent="0.3">
      <c r="A17" s="10" t="s">
        <v>84</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s="26" customFormat="1" x14ac:dyDescent="0.2">
      <c r="A20" s="22">
        <v>2769</v>
      </c>
      <c r="B20" s="23" t="s">
        <v>14</v>
      </c>
      <c r="C20" s="66">
        <v>36936</v>
      </c>
      <c r="D20" s="22">
        <v>14006</v>
      </c>
      <c r="E20" s="24" t="s">
        <v>16</v>
      </c>
      <c r="F20" s="27">
        <v>93414.8</v>
      </c>
      <c r="G20" s="28">
        <f>+F20/F23</f>
        <v>1.8498717065292355E-4</v>
      </c>
    </row>
    <row r="21" spans="1:7" x14ac:dyDescent="0.2">
      <c r="A21" s="22">
        <v>1243</v>
      </c>
      <c r="B21" s="23" t="s">
        <v>14</v>
      </c>
      <c r="C21" s="67">
        <v>36917</v>
      </c>
      <c r="D21" s="31">
        <v>13881</v>
      </c>
      <c r="E21" s="24" t="s">
        <v>16</v>
      </c>
      <c r="F21" s="55">
        <v>504886469.31999999</v>
      </c>
      <c r="G21" s="56">
        <f>+F21/F23</f>
        <v>0.99981501282934704</v>
      </c>
    </row>
    <row r="22" spans="1:7" x14ac:dyDescent="0.2">
      <c r="A22" s="7"/>
      <c r="B22" s="2"/>
      <c r="C22" s="9"/>
      <c r="D22" s="7"/>
      <c r="E22" s="13"/>
      <c r="F22" s="6"/>
      <c r="G22" s="21"/>
    </row>
    <row r="23" spans="1:7" ht="13.5" thickBot="1" x14ac:dyDescent="0.25">
      <c r="B23" s="1" t="s">
        <v>18</v>
      </c>
      <c r="F23" s="30">
        <f>SUM(F20:F22)</f>
        <v>504979884.12</v>
      </c>
      <c r="G23" s="20">
        <f>+F23/F23</f>
        <v>1</v>
      </c>
    </row>
    <row r="24" spans="1:7" ht="13.5" thickTop="1" x14ac:dyDescent="0.2"/>
    <row r="25" spans="1:7" ht="15.75" x14ac:dyDescent="0.25">
      <c r="B25" s="53" t="str">
        <f>+B1</f>
        <v>Certification for Market Settlement September 28, 2001</v>
      </c>
    </row>
    <row r="26" spans="1:7" ht="15.75" x14ac:dyDescent="0.25">
      <c r="B26" s="41"/>
    </row>
    <row r="27" spans="1:7" ht="15.75" x14ac:dyDescent="0.25">
      <c r="B27" s="10" t="s">
        <v>63</v>
      </c>
    </row>
    <row r="28" spans="1:7" ht="15.75" x14ac:dyDescent="0.25">
      <c r="B28" s="10"/>
    </row>
    <row r="29" spans="1:7" ht="15.75" x14ac:dyDescent="0.25">
      <c r="B29" s="10" t="s">
        <v>27</v>
      </c>
      <c r="G29" s="21"/>
    </row>
    <row r="30" spans="1:7" ht="15.75" x14ac:dyDescent="0.25">
      <c r="B30" s="10"/>
      <c r="G30" s="21"/>
    </row>
    <row r="31" spans="1:7" x14ac:dyDescent="0.2">
      <c r="B31" s="21" t="s">
        <v>26</v>
      </c>
      <c r="C31" s="32"/>
      <c r="D31" s="33"/>
      <c r="E31" s="33"/>
      <c r="F31" s="34">
        <v>669272884</v>
      </c>
      <c r="G31" s="57">
        <f>+F31/F33</f>
        <v>0.99531074726458513</v>
      </c>
    </row>
    <row r="32" spans="1:7" x14ac:dyDescent="0.2">
      <c r="B32" s="21" t="s">
        <v>28</v>
      </c>
      <c r="C32" s="32"/>
      <c r="D32" s="33"/>
      <c r="E32" s="33"/>
      <c r="F32" s="39">
        <f>3153175.74</f>
        <v>3153175.74</v>
      </c>
      <c r="G32" s="57">
        <f>+F32/F33</f>
        <v>4.6892527354148138E-3</v>
      </c>
    </row>
    <row r="33" spans="2:7" x14ac:dyDescent="0.2">
      <c r="B33" s="35" t="s">
        <v>29</v>
      </c>
      <c r="C33" s="32"/>
      <c r="D33" s="33"/>
      <c r="E33" s="33"/>
      <c r="F33" s="51">
        <f>+F32+F31</f>
        <v>672426059.74000001</v>
      </c>
      <c r="G33" s="58">
        <f>+F33/F33</f>
        <v>1</v>
      </c>
    </row>
    <row r="34" spans="2:7" ht="15.75" x14ac:dyDescent="0.25">
      <c r="B34" s="10"/>
      <c r="G34" s="21"/>
    </row>
    <row r="35" spans="2:7" x14ac:dyDescent="0.2">
      <c r="B35" s="21" t="s">
        <v>30</v>
      </c>
      <c r="C35" s="32"/>
      <c r="D35" s="33"/>
      <c r="E35" s="33"/>
      <c r="F35" s="6">
        <v>2983589.97</v>
      </c>
      <c r="G35" s="33"/>
    </row>
    <row r="36" spans="2:7" x14ac:dyDescent="0.2">
      <c r="B36" s="21" t="s">
        <v>31</v>
      </c>
      <c r="C36" s="32"/>
      <c r="D36" s="33"/>
      <c r="E36" s="33"/>
      <c r="F36" s="6">
        <v>144397659.30000001</v>
      </c>
      <c r="G36" s="33"/>
    </row>
    <row r="37" spans="2:7" x14ac:dyDescent="0.2">
      <c r="B37" s="21" t="s">
        <v>73</v>
      </c>
      <c r="C37" s="32"/>
      <c r="D37" s="33"/>
      <c r="E37" s="33"/>
      <c r="F37" s="6">
        <v>62787.65</v>
      </c>
      <c r="G37" s="33"/>
    </row>
    <row r="38" spans="2:7" x14ac:dyDescent="0.2">
      <c r="B38" s="21" t="s">
        <v>32</v>
      </c>
      <c r="C38" s="32"/>
      <c r="D38" s="33"/>
      <c r="E38" s="33"/>
      <c r="F38" s="39">
        <v>352934.19</v>
      </c>
      <c r="G38" s="33"/>
    </row>
    <row r="39" spans="2:7" x14ac:dyDescent="0.2">
      <c r="B39" s="35" t="s">
        <v>33</v>
      </c>
      <c r="C39" s="32"/>
      <c r="D39" s="33"/>
      <c r="E39" s="33"/>
      <c r="F39" s="51">
        <f>SUM(F35:F38)</f>
        <v>147796971.11000001</v>
      </c>
      <c r="G39" s="58">
        <f>+F39/F33</f>
        <v>0.21979661402050232</v>
      </c>
    </row>
    <row r="40" spans="2:7" ht="15.75" x14ac:dyDescent="0.25">
      <c r="B40" s="10"/>
      <c r="G40" s="21"/>
    </row>
    <row r="41" spans="2:7" x14ac:dyDescent="0.2">
      <c r="B41" s="21" t="s">
        <v>123</v>
      </c>
      <c r="C41" s="32"/>
      <c r="D41" s="33"/>
      <c r="E41" s="33"/>
      <c r="F41" s="6">
        <v>16925215.710000001</v>
      </c>
      <c r="G41" s="33"/>
    </row>
    <row r="42" spans="2:7" x14ac:dyDescent="0.2">
      <c r="B42" s="21" t="s">
        <v>137</v>
      </c>
      <c r="C42" s="32"/>
      <c r="D42" s="33"/>
      <c r="E42" s="33"/>
      <c r="F42" s="6">
        <v>80424.78</v>
      </c>
      <c r="G42" s="33"/>
    </row>
    <row r="43" spans="2:7" x14ac:dyDescent="0.2">
      <c r="B43" s="21" t="s">
        <v>196</v>
      </c>
      <c r="C43" s="32"/>
      <c r="D43" s="33"/>
      <c r="E43" s="33"/>
      <c r="F43" s="6">
        <v>1292641.3899999999</v>
      </c>
      <c r="G43" s="33"/>
    </row>
    <row r="44" spans="2:7" x14ac:dyDescent="0.2">
      <c r="B44" s="21" t="s">
        <v>197</v>
      </c>
      <c r="C44" s="32"/>
      <c r="D44" s="33"/>
      <c r="E44" s="33"/>
      <c r="F44" s="39">
        <v>1350922.63</v>
      </c>
      <c r="G44" s="33"/>
    </row>
    <row r="45" spans="2:7" x14ac:dyDescent="0.2">
      <c r="B45" s="35" t="s">
        <v>53</v>
      </c>
      <c r="C45" s="32"/>
      <c r="D45" s="33"/>
      <c r="E45" s="33"/>
      <c r="F45" s="52">
        <f>SUM(F41:F44)</f>
        <v>19649204.510000002</v>
      </c>
      <c r="G45" s="58">
        <f>+F45/F33</f>
        <v>2.9221360810432532E-2</v>
      </c>
    </row>
    <row r="46" spans="2:7" ht="15.75" x14ac:dyDescent="0.25">
      <c r="B46" s="10"/>
      <c r="G46" s="21"/>
    </row>
    <row r="47" spans="2:7" ht="16.5" thickBot="1" x14ac:dyDescent="0.3">
      <c r="B47" s="44" t="s">
        <v>35</v>
      </c>
      <c r="C47" s="48"/>
      <c r="D47" s="49"/>
      <c r="E47" s="49"/>
      <c r="F47" s="50">
        <f>+F33-F39-F45</f>
        <v>504979884.12</v>
      </c>
      <c r="G47" s="59">
        <f>+F47/F33</f>
        <v>0.7509820251690652</v>
      </c>
    </row>
    <row r="48" spans="2:7" ht="15.75" x14ac:dyDescent="0.25">
      <c r="B48" s="37"/>
      <c r="C48" s="32"/>
      <c r="D48" s="33"/>
      <c r="E48" s="33"/>
      <c r="F48" s="38"/>
      <c r="G48" s="21"/>
    </row>
    <row r="49" spans="2:7" ht="15.75" x14ac:dyDescent="0.25">
      <c r="B49" s="37"/>
      <c r="C49" s="32"/>
      <c r="D49" s="33"/>
      <c r="E49" s="33"/>
      <c r="F49" s="38"/>
      <c r="G49" s="21"/>
    </row>
    <row r="50" spans="2:7" ht="15.75" x14ac:dyDescent="0.25">
      <c r="B50" s="37" t="s">
        <v>34</v>
      </c>
      <c r="C50" s="32"/>
      <c r="D50" s="33"/>
      <c r="E50" s="33"/>
      <c r="F50" s="21"/>
      <c r="G50" s="21"/>
    </row>
    <row r="51" spans="2:7" ht="15.75" x14ac:dyDescent="0.25">
      <c r="B51" s="37"/>
      <c r="C51" s="32"/>
      <c r="D51" s="33"/>
      <c r="E51" s="33"/>
      <c r="F51" s="21"/>
      <c r="G51" s="21"/>
    </row>
    <row r="52" spans="2:7" x14ac:dyDescent="0.2">
      <c r="B52" s="21" t="s">
        <v>26</v>
      </c>
      <c r="C52" s="32"/>
      <c r="D52" s="33"/>
      <c r="E52" s="33"/>
      <c r="F52" s="34">
        <v>669155560.77999997</v>
      </c>
      <c r="G52" s="57">
        <f>+F52/F54</f>
        <v>0.97444799717499142</v>
      </c>
    </row>
    <row r="53" spans="2:7" x14ac:dyDescent="0.2">
      <c r="B53" s="21" t="s">
        <v>28</v>
      </c>
      <c r="C53" s="32"/>
      <c r="D53" s="33"/>
      <c r="E53" s="33"/>
      <c r="F53" s="39">
        <v>17546615.960000001</v>
      </c>
      <c r="G53" s="57">
        <f>+F53/F54</f>
        <v>2.5552002825008552E-2</v>
      </c>
    </row>
    <row r="54" spans="2:7" x14ac:dyDescent="0.2">
      <c r="B54" s="35" t="s">
        <v>29</v>
      </c>
      <c r="C54" s="32"/>
      <c r="D54" s="33"/>
      <c r="E54" s="33"/>
      <c r="F54" s="51">
        <f>+F53+F52</f>
        <v>686702176.74000001</v>
      </c>
      <c r="G54" s="58">
        <f>+F54/F54</f>
        <v>1</v>
      </c>
    </row>
    <row r="55" spans="2:7" ht="15.75" x14ac:dyDescent="0.25">
      <c r="B55" s="10"/>
      <c r="G55" s="21"/>
    </row>
    <row r="56" spans="2:7" x14ac:dyDescent="0.2">
      <c r="B56" s="21" t="s">
        <v>38</v>
      </c>
      <c r="C56" s="32"/>
      <c r="D56" s="33"/>
      <c r="E56" s="33"/>
      <c r="F56" s="6">
        <v>12113244.289999999</v>
      </c>
      <c r="G56" s="33"/>
    </row>
    <row r="57" spans="2:7" x14ac:dyDescent="0.2">
      <c r="B57" s="21" t="s">
        <v>39</v>
      </c>
      <c r="C57" s="32"/>
      <c r="D57" s="33"/>
      <c r="E57" s="33"/>
      <c r="F57" s="6">
        <v>149333046.53999999</v>
      </c>
      <c r="G57" s="33"/>
    </row>
    <row r="58" spans="2:7" x14ac:dyDescent="0.2">
      <c r="B58" s="21" t="s">
        <v>40</v>
      </c>
      <c r="C58" s="32"/>
      <c r="D58" s="33"/>
      <c r="E58" s="33"/>
      <c r="F58" s="6">
        <v>62787.65</v>
      </c>
      <c r="G58" s="33"/>
    </row>
    <row r="59" spans="2:7" x14ac:dyDescent="0.2">
      <c r="B59" s="21" t="s">
        <v>42</v>
      </c>
      <c r="C59" s="32"/>
      <c r="D59" s="33"/>
      <c r="E59" s="33"/>
      <c r="F59" s="6">
        <v>352693.64</v>
      </c>
      <c r="G59" s="33"/>
    </row>
    <row r="60" spans="2:7" x14ac:dyDescent="0.2">
      <c r="B60" s="21" t="s">
        <v>68</v>
      </c>
      <c r="C60" s="32"/>
      <c r="D60" s="33"/>
      <c r="E60" s="33"/>
      <c r="F60" s="39">
        <v>5209.76</v>
      </c>
      <c r="G60" s="33"/>
    </row>
    <row r="61" spans="2:7" x14ac:dyDescent="0.2">
      <c r="B61" s="35" t="s">
        <v>41</v>
      </c>
      <c r="C61" s="32"/>
      <c r="D61" s="33"/>
      <c r="E61" s="33"/>
      <c r="F61" s="51">
        <f>SUM(F56:F60)</f>
        <v>161866981.87999997</v>
      </c>
      <c r="G61" s="58">
        <f>+F61/F54</f>
        <v>0.23571642462011044</v>
      </c>
    </row>
    <row r="62" spans="2:7" ht="15.75" x14ac:dyDescent="0.25">
      <c r="B62" s="10"/>
      <c r="G62" s="21"/>
    </row>
    <row r="63" spans="2:7" x14ac:dyDescent="0.2">
      <c r="B63" s="21" t="s">
        <v>126</v>
      </c>
      <c r="C63" s="32"/>
      <c r="D63" s="33"/>
      <c r="E63" s="33"/>
      <c r="F63" s="36">
        <v>957235.81</v>
      </c>
      <c r="G63" s="33"/>
    </row>
    <row r="64" spans="2:7" x14ac:dyDescent="0.2">
      <c r="B64" s="21" t="s">
        <v>125</v>
      </c>
      <c r="C64" s="32"/>
      <c r="D64" s="33"/>
      <c r="E64" s="33"/>
      <c r="F64" s="36">
        <v>443900.1</v>
      </c>
      <c r="G64" s="33"/>
    </row>
    <row r="65" spans="1:7" x14ac:dyDescent="0.2">
      <c r="B65" s="21" t="s">
        <v>124</v>
      </c>
      <c r="C65" s="32"/>
      <c r="D65" s="33"/>
      <c r="E65" s="33"/>
      <c r="F65" s="6">
        <v>16925215.710000001</v>
      </c>
      <c r="G65" s="33"/>
    </row>
    <row r="66" spans="1:7" x14ac:dyDescent="0.2">
      <c r="B66" s="21" t="s">
        <v>128</v>
      </c>
      <c r="C66" s="32"/>
      <c r="D66" s="33"/>
      <c r="E66" s="33"/>
      <c r="F66" s="6">
        <v>240.55</v>
      </c>
      <c r="G66" s="33"/>
    </row>
    <row r="67" spans="1:7" x14ac:dyDescent="0.2">
      <c r="B67" s="21" t="s">
        <v>127</v>
      </c>
      <c r="C67" s="32"/>
      <c r="D67" s="33"/>
      <c r="E67" s="33"/>
      <c r="F67" s="6">
        <f>2463.45+9045.05</f>
        <v>11508.5</v>
      </c>
      <c r="G67" s="33"/>
    </row>
    <row r="68" spans="1:7" s="21" customFormat="1" x14ac:dyDescent="0.2">
      <c r="A68" s="32"/>
      <c r="B68" s="21" t="s">
        <v>129</v>
      </c>
      <c r="C68" s="32"/>
      <c r="D68" s="33"/>
      <c r="E68" s="33"/>
      <c r="F68" s="6">
        <v>4918.46</v>
      </c>
      <c r="G68" s="33"/>
    </row>
    <row r="69" spans="1:7" x14ac:dyDescent="0.2">
      <c r="B69" s="21" t="s">
        <v>130</v>
      </c>
      <c r="C69" s="32"/>
      <c r="D69" s="33"/>
      <c r="E69" s="33"/>
      <c r="F69" s="6">
        <v>7683.69</v>
      </c>
      <c r="G69" s="33"/>
    </row>
    <row r="70" spans="1:7" x14ac:dyDescent="0.2">
      <c r="B70" s="21" t="s">
        <v>134</v>
      </c>
      <c r="C70" s="32"/>
      <c r="D70" s="33"/>
      <c r="E70" s="33"/>
      <c r="F70" s="6">
        <v>252.41</v>
      </c>
      <c r="G70" s="33"/>
    </row>
    <row r="71" spans="1:7" x14ac:dyDescent="0.2">
      <c r="B71" s="68" t="s">
        <v>132</v>
      </c>
      <c r="C71" s="32"/>
      <c r="D71" s="33"/>
      <c r="E71" s="33"/>
      <c r="F71" s="6">
        <f>1321875.76+25515.38</f>
        <v>1347391.14</v>
      </c>
      <c r="G71" s="33"/>
    </row>
    <row r="72" spans="1:7" x14ac:dyDescent="0.2">
      <c r="B72" s="68" t="s">
        <v>131</v>
      </c>
      <c r="C72" s="32"/>
      <c r="D72" s="33"/>
      <c r="E72" s="33"/>
      <c r="F72" s="6">
        <v>89223.57</v>
      </c>
      <c r="G72" s="33"/>
    </row>
    <row r="73" spans="1:7" x14ac:dyDescent="0.2">
      <c r="B73" s="68" t="s">
        <v>133</v>
      </c>
      <c r="C73" s="32"/>
      <c r="D73" s="33"/>
      <c r="E73" s="33"/>
      <c r="F73" s="6">
        <v>7117.71</v>
      </c>
      <c r="G73" s="33"/>
    </row>
    <row r="74" spans="1:7" x14ac:dyDescent="0.2">
      <c r="B74" s="68" t="s">
        <v>198</v>
      </c>
      <c r="C74" s="32"/>
      <c r="D74" s="33"/>
      <c r="E74" s="33"/>
      <c r="F74" s="6">
        <v>56858.77</v>
      </c>
      <c r="G74" s="33"/>
    </row>
    <row r="75" spans="1:7" x14ac:dyDescent="0.2">
      <c r="B75" s="68" t="s">
        <v>136</v>
      </c>
      <c r="C75" s="32"/>
      <c r="D75" s="33"/>
      <c r="E75" s="33"/>
      <c r="F75" s="39">
        <v>6708594.8600000003</v>
      </c>
      <c r="G75" s="33"/>
    </row>
    <row r="76" spans="1:7" x14ac:dyDescent="0.2">
      <c r="B76" s="35" t="s">
        <v>53</v>
      </c>
      <c r="C76" s="32"/>
      <c r="D76" s="33"/>
      <c r="E76" s="33"/>
      <c r="F76" s="52">
        <f>SUM(F63:F75)</f>
        <v>26560141.280000005</v>
      </c>
      <c r="G76" s="58">
        <f>+F76/F54</f>
        <v>3.8677817225059176E-2</v>
      </c>
    </row>
    <row r="77" spans="1:7" ht="15.75" x14ac:dyDescent="0.25">
      <c r="B77" s="10"/>
      <c r="G77" s="21"/>
    </row>
    <row r="78" spans="1:7" ht="16.5" thickBot="1" x14ac:dyDescent="0.3">
      <c r="B78" s="44" t="s">
        <v>36</v>
      </c>
      <c r="C78" s="48"/>
      <c r="D78" s="49"/>
      <c r="E78" s="49"/>
      <c r="F78" s="50">
        <f>+F54-F61-F76</f>
        <v>498275053.57999998</v>
      </c>
      <c r="G78" s="59">
        <f>+F78/F54</f>
        <v>0.7256057581548303</v>
      </c>
    </row>
    <row r="79" spans="1:7" ht="15.75" x14ac:dyDescent="0.25">
      <c r="B79" s="10"/>
    </row>
  </sheetData>
  <phoneticPr fontId="0" type="noConversion"/>
  <pageMargins left="0.5" right="0.25" top="1" bottom="0.5" header="0.5" footer="0"/>
  <pageSetup scale="87" orientation="portrait" r:id="rId1"/>
  <headerFooter alignWithMargins="0">
    <oddFooter>&amp;LCertification September 28, 2001&amp;CPage &amp;P of &amp;N&amp;RTrade Month November 2000</oddFooter>
  </headerFooter>
  <rowBreaks count="1" manualBreakCount="1">
    <brk id="2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9"/>
  <sheetViews>
    <sheetView zoomScaleNormal="100" workbookViewId="0">
      <selection activeCell="E14" sqref="E14"/>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54</v>
      </c>
    </row>
    <row r="4" spans="1:7" ht="15.75" x14ac:dyDescent="0.25">
      <c r="B4" s="10"/>
    </row>
    <row r="5" spans="1:7" ht="15.75" x14ac:dyDescent="0.25">
      <c r="B5" s="10"/>
    </row>
    <row r="6" spans="1:7" ht="15.75" x14ac:dyDescent="0.25">
      <c r="B6" s="10"/>
    </row>
    <row r="7" spans="1:7" ht="16.5" thickBot="1" x14ac:dyDescent="0.3">
      <c r="A7" s="10" t="s">
        <v>56</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135</v>
      </c>
      <c r="C10" s="85">
        <v>36861</v>
      </c>
      <c r="D10" s="14"/>
      <c r="E10" s="14"/>
      <c r="F10" s="30">
        <v>1471079852.9000001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48</v>
      </c>
    </row>
    <row r="17" spans="1:7" ht="16.5" thickBot="1" x14ac:dyDescent="0.3">
      <c r="A17" s="10" t="s">
        <v>85</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x14ac:dyDescent="0.2">
      <c r="A20" s="24">
        <v>1243</v>
      </c>
      <c r="B20" s="23" t="s">
        <v>14</v>
      </c>
      <c r="C20" s="69">
        <v>36949</v>
      </c>
      <c r="D20" s="31">
        <v>14163</v>
      </c>
      <c r="E20" s="24" t="s">
        <v>16</v>
      </c>
      <c r="F20" s="27">
        <v>1430114437.6500001</v>
      </c>
      <c r="G20" s="28">
        <f t="shared" ref="G20:G27" si="0">+F20/$F$29</f>
        <v>0.94464002707675376</v>
      </c>
    </row>
    <row r="21" spans="1:7" x14ac:dyDescent="0.2">
      <c r="A21" s="24">
        <v>1243</v>
      </c>
      <c r="B21" s="23" t="s">
        <v>14</v>
      </c>
      <c r="C21" s="69">
        <v>36965</v>
      </c>
      <c r="D21" s="31">
        <v>14323</v>
      </c>
      <c r="E21" s="24" t="s">
        <v>16</v>
      </c>
      <c r="F21" s="29">
        <v>54594957.950000003</v>
      </c>
      <c r="G21" s="28">
        <f t="shared" si="0"/>
        <v>3.6061857148220668E-2</v>
      </c>
    </row>
    <row r="22" spans="1:7" x14ac:dyDescent="0.2">
      <c r="A22" s="24">
        <v>2769</v>
      </c>
      <c r="B22" s="23" t="s">
        <v>14</v>
      </c>
      <c r="C22" s="69">
        <v>36949</v>
      </c>
      <c r="D22" s="31">
        <v>14126</v>
      </c>
      <c r="E22" s="24" t="s">
        <v>16</v>
      </c>
      <c r="F22" s="29">
        <v>12171363.359999999</v>
      </c>
      <c r="G22" s="28">
        <f t="shared" si="0"/>
        <v>8.0396062799313328E-3</v>
      </c>
    </row>
    <row r="23" spans="1:7" x14ac:dyDescent="0.2">
      <c r="A23" s="24">
        <v>2769</v>
      </c>
      <c r="B23" s="23" t="s">
        <v>14</v>
      </c>
      <c r="C23" s="69">
        <v>36965</v>
      </c>
      <c r="D23" s="31">
        <v>14286</v>
      </c>
      <c r="E23" s="24" t="s">
        <v>16</v>
      </c>
      <c r="F23" s="29">
        <v>235652.69</v>
      </c>
      <c r="G23" s="28">
        <f t="shared" si="0"/>
        <v>1.5565674858027671E-4</v>
      </c>
    </row>
    <row r="24" spans="1:7" x14ac:dyDescent="0.2">
      <c r="A24" s="24">
        <v>1011</v>
      </c>
      <c r="B24" s="23" t="s">
        <v>185</v>
      </c>
      <c r="C24" s="69">
        <v>36949</v>
      </c>
      <c r="D24" s="31">
        <v>14183</v>
      </c>
      <c r="E24" s="24" t="s">
        <v>16</v>
      </c>
      <c r="F24" s="29">
        <v>11335555.359999999</v>
      </c>
      <c r="G24" s="28">
        <f t="shared" si="0"/>
        <v>7.4875262009074786E-3</v>
      </c>
    </row>
    <row r="25" spans="1:7" x14ac:dyDescent="0.2">
      <c r="A25" s="24">
        <v>1008</v>
      </c>
      <c r="B25" s="23" t="s">
        <v>7</v>
      </c>
      <c r="C25" s="69">
        <v>36965</v>
      </c>
      <c r="D25" s="31">
        <v>14345</v>
      </c>
      <c r="E25" s="24" t="s">
        <v>16</v>
      </c>
      <c r="F25" s="29">
        <v>1600779.14</v>
      </c>
      <c r="G25" s="28">
        <f t="shared" si="0"/>
        <v>1.0573699630907314E-3</v>
      </c>
    </row>
    <row r="26" spans="1:7" x14ac:dyDescent="0.2">
      <c r="A26" s="24">
        <v>1010</v>
      </c>
      <c r="B26" s="23" t="s">
        <v>61</v>
      </c>
      <c r="C26" s="69">
        <v>36965</v>
      </c>
      <c r="D26" s="31">
        <v>14344</v>
      </c>
      <c r="E26" s="24" t="s">
        <v>16</v>
      </c>
      <c r="F26" s="29">
        <v>3337442.11</v>
      </c>
      <c r="G26" s="28">
        <f t="shared" si="0"/>
        <v>2.204495893586015E-3</v>
      </c>
    </row>
    <row r="27" spans="1:7" x14ac:dyDescent="0.2">
      <c r="A27" s="24">
        <v>2465</v>
      </c>
      <c r="B27" s="23" t="s">
        <v>25</v>
      </c>
      <c r="C27" s="69">
        <v>36965</v>
      </c>
      <c r="D27" s="31">
        <v>14298</v>
      </c>
      <c r="E27" s="24" t="s">
        <v>16</v>
      </c>
      <c r="F27" s="55">
        <v>535113.07999999996</v>
      </c>
      <c r="G27" s="56">
        <f t="shared" si="0"/>
        <v>3.5346068892987169E-4</v>
      </c>
    </row>
    <row r="28" spans="1:7" x14ac:dyDescent="0.2">
      <c r="A28" s="7"/>
      <c r="B28" s="2"/>
      <c r="C28" s="9"/>
      <c r="D28" s="7"/>
      <c r="E28" s="13"/>
      <c r="F28" s="6"/>
      <c r="G28" s="21"/>
    </row>
    <row r="29" spans="1:7" ht="13.5" thickBot="1" x14ac:dyDescent="0.25">
      <c r="B29" s="1" t="s">
        <v>18</v>
      </c>
      <c r="F29" s="30">
        <f>SUM(F20:F28)</f>
        <v>1513925301.3399999</v>
      </c>
      <c r="G29" s="20">
        <f>+F29/F29</f>
        <v>1</v>
      </c>
    </row>
    <row r="30" spans="1:7" ht="13.5" thickTop="1" x14ac:dyDescent="0.2"/>
    <row r="32" spans="1:7" x14ac:dyDescent="0.2">
      <c r="B32" s="82" t="s">
        <v>184</v>
      </c>
    </row>
    <row r="36" spans="1:8" ht="15.75" x14ac:dyDescent="0.25">
      <c r="B36" s="10" t="str">
        <f>+B1</f>
        <v>Certification for Market Settlement September 28, 2001</v>
      </c>
    </row>
    <row r="37" spans="1:8" ht="15.75" x14ac:dyDescent="0.25">
      <c r="B37" s="10"/>
    </row>
    <row r="38" spans="1:8" ht="15.75" x14ac:dyDescent="0.25">
      <c r="B38" s="10" t="s">
        <v>71</v>
      </c>
    </row>
    <row r="39" spans="1:8" ht="15.75" x14ac:dyDescent="0.25">
      <c r="B39" s="10"/>
    </row>
    <row r="40" spans="1:8" ht="15.75" x14ac:dyDescent="0.25">
      <c r="B40" s="10" t="s">
        <v>27</v>
      </c>
    </row>
    <row r="41" spans="1:8" ht="15.75" x14ac:dyDescent="0.25">
      <c r="B41" s="10"/>
    </row>
    <row r="42" spans="1:8" x14ac:dyDescent="0.2">
      <c r="B42" s="21" t="s">
        <v>26</v>
      </c>
      <c r="C42" s="32"/>
      <c r="D42" s="33"/>
      <c r="E42" s="33"/>
      <c r="F42" s="34">
        <v>1503186210.21</v>
      </c>
      <c r="G42" s="61">
        <f>+F42/$F$44</f>
        <v>0.95379607150099743</v>
      </c>
      <c r="H42" s="60"/>
    </row>
    <row r="43" spans="1:8" x14ac:dyDescent="0.2">
      <c r="B43" s="21" t="s">
        <v>28</v>
      </c>
      <c r="C43" s="32"/>
      <c r="D43" s="33"/>
      <c r="E43" s="33"/>
      <c r="F43" s="39">
        <v>72817565.780000001</v>
      </c>
      <c r="G43" s="61">
        <f>+F43/$F$44</f>
        <v>4.6203928499002553E-2</v>
      </c>
    </row>
    <row r="44" spans="1:8" x14ac:dyDescent="0.2">
      <c r="B44" s="35" t="s">
        <v>29</v>
      </c>
      <c r="C44" s="32"/>
      <c r="D44" s="33"/>
      <c r="E44" s="33"/>
      <c r="F44" s="51">
        <f>SUM(F42:F43)</f>
        <v>1576003775.99</v>
      </c>
      <c r="G44" s="62">
        <f>+F44/$F$44</f>
        <v>1</v>
      </c>
    </row>
    <row r="45" spans="1:8" ht="15.75" x14ac:dyDescent="0.25">
      <c r="B45" s="10"/>
    </row>
    <row r="46" spans="1:8" x14ac:dyDescent="0.2">
      <c r="B46" s="21" t="s">
        <v>32</v>
      </c>
      <c r="C46" s="32"/>
      <c r="D46" s="33"/>
      <c r="E46" s="33"/>
      <c r="F46" s="6">
        <f>46371366.56-352934.19</f>
        <v>46018432.370000005</v>
      </c>
    </row>
    <row r="47" spans="1:8" x14ac:dyDescent="0.2">
      <c r="B47" s="21" t="s">
        <v>64</v>
      </c>
      <c r="C47" s="32"/>
      <c r="D47" s="33"/>
      <c r="E47" s="33"/>
      <c r="F47" s="6">
        <v>1095680.05</v>
      </c>
    </row>
    <row r="48" spans="1:8" s="21" customFormat="1" x14ac:dyDescent="0.2">
      <c r="A48" s="32"/>
      <c r="B48" s="21" t="s">
        <v>66</v>
      </c>
      <c r="C48" s="32"/>
      <c r="D48" s="33"/>
      <c r="E48" s="33"/>
      <c r="F48" s="6">
        <v>4668657.91</v>
      </c>
    </row>
    <row r="49" spans="1:7" x14ac:dyDescent="0.2">
      <c r="B49" s="21" t="s">
        <v>72</v>
      </c>
      <c r="C49" s="32"/>
      <c r="D49" s="33"/>
      <c r="E49" s="33"/>
      <c r="F49" s="39">
        <f>31.56-0.54</f>
        <v>31.02</v>
      </c>
    </row>
    <row r="50" spans="1:7" x14ac:dyDescent="0.2">
      <c r="B50" s="35" t="s">
        <v>33</v>
      </c>
      <c r="C50" s="32"/>
      <c r="D50" s="33"/>
      <c r="E50" s="33"/>
      <c r="F50" s="51">
        <f>SUM(F46:F49)</f>
        <v>51782801.350000001</v>
      </c>
      <c r="G50" s="62">
        <f>+F50/$F$44</f>
        <v>3.2857028732352841E-2</v>
      </c>
    </row>
    <row r="51" spans="1:7" ht="15.75" x14ac:dyDescent="0.25">
      <c r="B51" s="10"/>
    </row>
    <row r="52" spans="1:7" s="21" customFormat="1" x14ac:dyDescent="0.2">
      <c r="A52" s="32"/>
      <c r="B52" s="21" t="s">
        <v>138</v>
      </c>
      <c r="C52" s="32"/>
      <c r="D52" s="33"/>
      <c r="E52" s="33"/>
      <c r="F52" s="6">
        <f>2463.45+9045.05</f>
        <v>11508.5</v>
      </c>
    </row>
    <row r="53" spans="1:7" s="21" customFormat="1" x14ac:dyDescent="0.2">
      <c r="A53" s="32"/>
      <c r="B53" s="21" t="s">
        <v>139</v>
      </c>
      <c r="C53" s="32"/>
      <c r="D53" s="33"/>
      <c r="E53" s="33"/>
      <c r="F53" s="6">
        <v>147750</v>
      </c>
    </row>
    <row r="54" spans="1:7" s="21" customFormat="1" x14ac:dyDescent="0.2">
      <c r="A54" s="32"/>
      <c r="B54" s="21" t="s">
        <v>141</v>
      </c>
      <c r="C54" s="32"/>
      <c r="D54" s="33"/>
      <c r="E54" s="33"/>
      <c r="F54" s="6">
        <f>6905278.69+1077709.33</f>
        <v>7982988.0200000005</v>
      </c>
    </row>
    <row r="55" spans="1:7" s="21" customFormat="1" x14ac:dyDescent="0.2">
      <c r="A55" s="32"/>
      <c r="B55" s="21" t="s">
        <v>142</v>
      </c>
      <c r="C55" s="32"/>
      <c r="D55" s="33"/>
      <c r="E55" s="33"/>
      <c r="F55" s="6">
        <f>792.51+51555.14</f>
        <v>52347.65</v>
      </c>
    </row>
    <row r="56" spans="1:7" s="21" customFormat="1" x14ac:dyDescent="0.2">
      <c r="A56" s="32"/>
      <c r="B56" s="21" t="s">
        <v>140</v>
      </c>
      <c r="C56" s="32"/>
      <c r="D56" s="33"/>
      <c r="E56" s="33"/>
      <c r="F56" s="6">
        <f>21483.12+118120.46+21.04</f>
        <v>139624.62000000002</v>
      </c>
    </row>
    <row r="57" spans="1:7" s="21" customFormat="1" x14ac:dyDescent="0.2">
      <c r="A57" s="32"/>
      <c r="B57" s="21" t="s">
        <v>143</v>
      </c>
      <c r="C57" s="32"/>
      <c r="D57" s="33"/>
      <c r="E57" s="33"/>
      <c r="F57" s="6">
        <f>1476860.84+1284.97+6534.54-5100.63+1404.1</f>
        <v>1480983.8200000003</v>
      </c>
    </row>
    <row r="58" spans="1:7" s="21" customFormat="1" x14ac:dyDescent="0.2">
      <c r="A58" s="32"/>
      <c r="B58" s="21" t="s">
        <v>146</v>
      </c>
      <c r="C58" s="32"/>
      <c r="D58" s="33"/>
      <c r="E58" s="33"/>
      <c r="F58" s="6">
        <f>1202.39+5100.63+256.87</f>
        <v>6559.89</v>
      </c>
    </row>
    <row r="59" spans="1:7" s="21" customFormat="1" x14ac:dyDescent="0.2">
      <c r="A59" s="32"/>
      <c r="B59" s="21" t="s">
        <v>144</v>
      </c>
      <c r="C59" s="32"/>
      <c r="D59" s="33"/>
      <c r="E59" s="33"/>
      <c r="F59" s="6">
        <v>24782.38</v>
      </c>
    </row>
    <row r="60" spans="1:7" s="21" customFormat="1" x14ac:dyDescent="0.2">
      <c r="A60" s="32"/>
      <c r="B60" s="21" t="s">
        <v>145</v>
      </c>
      <c r="C60" s="32"/>
      <c r="D60" s="33"/>
      <c r="E60" s="33"/>
      <c r="F60" s="6">
        <f>13796.62+470.09</f>
        <v>14266.710000000001</v>
      </c>
    </row>
    <row r="61" spans="1:7" s="21" customFormat="1" x14ac:dyDescent="0.2">
      <c r="A61" s="32"/>
      <c r="B61" s="21" t="s">
        <v>199</v>
      </c>
      <c r="C61" s="32"/>
      <c r="D61" s="33"/>
      <c r="E61" s="33"/>
      <c r="F61" s="39">
        <v>434861.71</v>
      </c>
    </row>
    <row r="62" spans="1:7" x14ac:dyDescent="0.2">
      <c r="B62" s="1" t="s">
        <v>53</v>
      </c>
      <c r="F62" s="52">
        <f>SUM(F52:F61)</f>
        <v>10295673.300000004</v>
      </c>
      <c r="G62" s="62">
        <f>+F62/$F$44</f>
        <v>6.5327719748212911E-3</v>
      </c>
    </row>
    <row r="63" spans="1:7" ht="15.75" x14ac:dyDescent="0.25">
      <c r="B63" s="10"/>
    </row>
    <row r="64" spans="1:7" ht="16.5" thickBot="1" x14ac:dyDescent="0.3">
      <c r="B64" s="44" t="s">
        <v>35</v>
      </c>
      <c r="C64" s="48"/>
      <c r="D64" s="49"/>
      <c r="E64" s="49"/>
      <c r="F64" s="50">
        <f>+F44-F50-F62</f>
        <v>1513925301.3400002</v>
      </c>
      <c r="G64" s="63">
        <f>+F64/$F$44</f>
        <v>0.96061019929282598</v>
      </c>
    </row>
    <row r="65" spans="1:7" ht="15.75" x14ac:dyDescent="0.25">
      <c r="B65" s="37"/>
      <c r="C65" s="32"/>
      <c r="D65" s="33"/>
      <c r="E65" s="33"/>
      <c r="F65" s="38"/>
    </row>
    <row r="66" spans="1:7" ht="15.75" x14ac:dyDescent="0.25">
      <c r="B66" s="37" t="s">
        <v>34</v>
      </c>
      <c r="C66" s="32"/>
      <c r="D66" s="33"/>
      <c r="E66" s="33"/>
      <c r="F66" s="21"/>
    </row>
    <row r="67" spans="1:7" ht="15.75" x14ac:dyDescent="0.25">
      <c r="B67" s="37"/>
      <c r="C67" s="32"/>
      <c r="D67" s="33"/>
      <c r="E67" s="33"/>
      <c r="F67" s="21"/>
    </row>
    <row r="68" spans="1:7" s="21" customFormat="1" x14ac:dyDescent="0.2">
      <c r="A68" s="32"/>
      <c r="B68" s="21" t="s">
        <v>26</v>
      </c>
      <c r="C68" s="32"/>
      <c r="D68" s="33"/>
      <c r="E68" s="33"/>
      <c r="F68" s="34">
        <f>1490781469.67</f>
        <v>1490781469.6700001</v>
      </c>
      <c r="G68" s="61">
        <f>+F68/$F$70</f>
        <v>0.94812611918699385</v>
      </c>
    </row>
    <row r="69" spans="1:7" x14ac:dyDescent="0.2">
      <c r="B69" s="21" t="s">
        <v>28</v>
      </c>
      <c r="C69" s="32"/>
      <c r="D69" s="33"/>
      <c r="E69" s="33"/>
      <c r="F69" s="39">
        <v>81563642.969999999</v>
      </c>
      <c r="G69" s="61">
        <f>+F69/$F$70</f>
        <v>5.187388081300609E-2</v>
      </c>
    </row>
    <row r="70" spans="1:7" x14ac:dyDescent="0.2">
      <c r="B70" s="35" t="s">
        <v>29</v>
      </c>
      <c r="C70" s="32"/>
      <c r="D70" s="33"/>
      <c r="E70" s="33"/>
      <c r="F70" s="51">
        <f>SUM(F68:F69)</f>
        <v>1572345112.6400001</v>
      </c>
      <c r="G70" s="62">
        <f>+F70/$F$70</f>
        <v>1</v>
      </c>
    </row>
    <row r="71" spans="1:7" ht="15.75" x14ac:dyDescent="0.25">
      <c r="B71" s="10"/>
    </row>
    <row r="72" spans="1:7" x14ac:dyDescent="0.2">
      <c r="B72" s="21" t="s">
        <v>42</v>
      </c>
      <c r="C72" s="32"/>
      <c r="D72" s="33"/>
      <c r="E72" s="33"/>
      <c r="F72" s="6">
        <v>45426874.329999998</v>
      </c>
    </row>
    <row r="73" spans="1:7" s="21" customFormat="1" x14ac:dyDescent="0.2">
      <c r="A73" s="32"/>
      <c r="B73" s="21" t="s">
        <v>65</v>
      </c>
      <c r="C73" s="32"/>
      <c r="D73" s="33"/>
      <c r="E73" s="33"/>
      <c r="F73" s="6">
        <v>1095680.05</v>
      </c>
    </row>
    <row r="74" spans="1:7" s="21" customFormat="1" x14ac:dyDescent="0.2">
      <c r="A74" s="32"/>
      <c r="B74" s="21" t="s">
        <v>67</v>
      </c>
      <c r="C74" s="32"/>
      <c r="D74" s="33"/>
      <c r="E74" s="33"/>
      <c r="F74" s="6">
        <v>4660365.5</v>
      </c>
    </row>
    <row r="75" spans="1:7" s="21" customFormat="1" x14ac:dyDescent="0.2">
      <c r="A75" s="32"/>
      <c r="B75" s="21" t="s">
        <v>74</v>
      </c>
      <c r="C75" s="32"/>
      <c r="D75" s="33"/>
      <c r="E75" s="33"/>
      <c r="F75" s="6">
        <v>8292.41</v>
      </c>
    </row>
    <row r="76" spans="1:7" x14ac:dyDescent="0.2">
      <c r="B76" s="21" t="s">
        <v>75</v>
      </c>
      <c r="C76" s="32"/>
      <c r="D76" s="33"/>
      <c r="E76" s="33"/>
      <c r="F76" s="39">
        <v>1243.6099999999999</v>
      </c>
    </row>
    <row r="77" spans="1:7" x14ac:dyDescent="0.2">
      <c r="B77" s="35" t="s">
        <v>41</v>
      </c>
      <c r="C77" s="32"/>
      <c r="D77" s="33"/>
      <c r="E77" s="33"/>
      <c r="F77" s="51">
        <f>SUM(F72:F76)</f>
        <v>51192455.899999991</v>
      </c>
      <c r="G77" s="62">
        <f>+F77/$F$70</f>
        <v>3.2558027807296573E-2</v>
      </c>
    </row>
    <row r="78" spans="1:7" ht="15.75" x14ac:dyDescent="0.25">
      <c r="B78" s="10"/>
    </row>
    <row r="79" spans="1:7" x14ac:dyDescent="0.2">
      <c r="B79" s="21" t="s">
        <v>147</v>
      </c>
      <c r="C79" s="32"/>
      <c r="D79" s="33"/>
      <c r="E79" s="33"/>
      <c r="F79" s="36">
        <f>554063.09+1911.84+35583.11</f>
        <v>591558.03999999992</v>
      </c>
    </row>
    <row r="80" spans="1:7" x14ac:dyDescent="0.2">
      <c r="B80" s="21" t="s">
        <v>148</v>
      </c>
      <c r="C80" s="32"/>
      <c r="D80" s="33"/>
      <c r="E80" s="33"/>
      <c r="F80" s="36">
        <f>6905278.69+1113292.44-35583.11</f>
        <v>7982988.0200000005</v>
      </c>
    </row>
    <row r="81" spans="1:7" s="21" customFormat="1" x14ac:dyDescent="0.2">
      <c r="A81" s="32"/>
      <c r="B81" s="21" t="s">
        <v>149</v>
      </c>
      <c r="C81" s="32"/>
      <c r="D81" s="33"/>
      <c r="E81" s="33"/>
      <c r="F81" s="36">
        <f>28270373.25+147750</f>
        <v>28418123.25</v>
      </c>
    </row>
    <row r="82" spans="1:7" s="21" customFormat="1" x14ac:dyDescent="0.2">
      <c r="A82" s="32"/>
      <c r="B82" s="68" t="s">
        <v>151</v>
      </c>
      <c r="C82" s="32"/>
      <c r="D82" s="33"/>
      <c r="E82" s="33"/>
      <c r="F82" s="36">
        <v>1291405.1399999999</v>
      </c>
    </row>
    <row r="83" spans="1:7" s="21" customFormat="1" x14ac:dyDescent="0.2">
      <c r="A83" s="32"/>
      <c r="B83" s="21" t="s">
        <v>150</v>
      </c>
      <c r="C83" s="32"/>
      <c r="D83" s="33"/>
      <c r="E83" s="33"/>
      <c r="F83" s="36">
        <f>4703426.9+3872000+13.44+217315.41</f>
        <v>8792755.75</v>
      </c>
    </row>
    <row r="84" spans="1:7" s="21" customFormat="1" x14ac:dyDescent="0.2">
      <c r="A84" s="32"/>
      <c r="B84" s="68" t="s">
        <v>154</v>
      </c>
      <c r="C84" s="32"/>
      <c r="D84" s="33"/>
      <c r="E84" s="33"/>
      <c r="F84" s="36">
        <v>33196.74</v>
      </c>
    </row>
    <row r="85" spans="1:7" s="21" customFormat="1" x14ac:dyDescent="0.2">
      <c r="A85" s="32"/>
      <c r="B85" s="68" t="s">
        <v>153</v>
      </c>
      <c r="C85" s="32"/>
      <c r="D85" s="33"/>
      <c r="E85" s="33"/>
      <c r="F85" s="40">
        <v>2962776.9</v>
      </c>
    </row>
    <row r="86" spans="1:7" x14ac:dyDescent="0.2">
      <c r="B86" s="1" t="s">
        <v>53</v>
      </c>
      <c r="C86" s="32"/>
      <c r="D86" s="33"/>
      <c r="E86" s="33"/>
      <c r="F86" s="52">
        <f>SUM(F79:F85)</f>
        <v>50072803.840000004</v>
      </c>
      <c r="G86" s="62">
        <f>+F86/$F$70</f>
        <v>3.1845937280223884E-2</v>
      </c>
    </row>
    <row r="87" spans="1:7" ht="15.75" x14ac:dyDescent="0.25">
      <c r="B87" s="10"/>
    </row>
    <row r="88" spans="1:7" ht="16.5" thickBot="1" x14ac:dyDescent="0.3">
      <c r="B88" s="44" t="s">
        <v>36</v>
      </c>
      <c r="C88" s="48"/>
      <c r="D88" s="49"/>
      <c r="E88" s="49"/>
      <c r="F88" s="50">
        <f>+F70-F77-F86</f>
        <v>1471079852.9000001</v>
      </c>
      <c r="G88" s="63">
        <f>+F88/$F$70</f>
        <v>0.93559603491247956</v>
      </c>
    </row>
    <row r="89" spans="1:7" ht="15.75" x14ac:dyDescent="0.25">
      <c r="B89" s="10"/>
    </row>
  </sheetData>
  <phoneticPr fontId="0" type="noConversion"/>
  <pageMargins left="0.5" right="0.25" top="1" bottom="0.5" header="0.5" footer="0"/>
  <pageSetup scale="88" orientation="portrait" r:id="rId1"/>
  <headerFooter alignWithMargins="0">
    <oddFooter>&amp;LCertification September 28, 2001&amp;CPage &amp;P of &amp;N&amp;RTrade Month December 2000</oddFooter>
  </headerFooter>
  <rowBreaks count="1" manualBreakCount="1">
    <brk id="3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99"/>
  <sheetViews>
    <sheetView zoomScaleNormal="100" workbookViewId="0">
      <selection activeCell="I6" sqref="I6"/>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69</v>
      </c>
    </row>
    <row r="4" spans="1:7" ht="15.75" x14ac:dyDescent="0.25">
      <c r="B4" s="10"/>
    </row>
    <row r="5" spans="1:7" ht="15.75" x14ac:dyDescent="0.25">
      <c r="B5" s="10"/>
    </row>
    <row r="6" spans="1:7" ht="15.75" x14ac:dyDescent="0.25">
      <c r="B6" s="10"/>
    </row>
    <row r="7" spans="1:7" ht="16.5" thickBot="1" x14ac:dyDescent="0.3">
      <c r="A7" s="10" t="s">
        <v>56</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155</v>
      </c>
      <c r="C10" s="85">
        <v>36892</v>
      </c>
      <c r="D10" s="14"/>
      <c r="E10" s="14"/>
      <c r="F10" s="30">
        <v>824310305.36000001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48</v>
      </c>
    </row>
    <row r="17" spans="1:7" ht="16.5" thickBot="1" x14ac:dyDescent="0.3">
      <c r="A17" s="10" t="s">
        <v>86</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x14ac:dyDescent="0.2">
      <c r="A20" s="24">
        <v>1924</v>
      </c>
      <c r="B20" s="23" t="s">
        <v>57</v>
      </c>
      <c r="C20" s="69">
        <v>36977</v>
      </c>
      <c r="D20" s="31">
        <v>14426</v>
      </c>
      <c r="E20" s="24" t="s">
        <v>77</v>
      </c>
      <c r="F20" s="27">
        <f>2271.96-56</f>
        <v>2215.96</v>
      </c>
      <c r="G20" s="28">
        <f>+F20/$F$37</f>
        <v>2.7508190402252523E-6</v>
      </c>
    </row>
    <row r="21" spans="1:7" x14ac:dyDescent="0.2">
      <c r="A21" s="24">
        <v>2606</v>
      </c>
      <c r="B21" s="23" t="s">
        <v>78</v>
      </c>
      <c r="C21" s="69">
        <v>36977</v>
      </c>
      <c r="D21" s="31">
        <v>14415</v>
      </c>
      <c r="E21" s="24" t="s">
        <v>77</v>
      </c>
      <c r="F21" s="29">
        <v>145848.15</v>
      </c>
      <c r="G21" s="28">
        <f>+F21/$F$37</f>
        <v>1.8105104243832409E-4</v>
      </c>
    </row>
    <row r="22" spans="1:7" x14ac:dyDescent="0.2">
      <c r="A22" s="24">
        <v>1544</v>
      </c>
      <c r="B22" s="23" t="s">
        <v>4</v>
      </c>
      <c r="C22" s="69">
        <v>36977</v>
      </c>
      <c r="D22" s="31">
        <v>14431</v>
      </c>
      <c r="E22" s="24" t="s">
        <v>77</v>
      </c>
      <c r="F22" s="29">
        <v>80164.399999999994</v>
      </c>
      <c r="G22" s="28">
        <f>+F22/$F$37</f>
        <v>9.9513419857864412E-5</v>
      </c>
    </row>
    <row r="23" spans="1:7" x14ac:dyDescent="0.2">
      <c r="A23" s="24">
        <v>2528</v>
      </c>
      <c r="B23" s="23" t="s">
        <v>76</v>
      </c>
      <c r="C23" s="69">
        <v>36977</v>
      </c>
      <c r="D23" s="31">
        <v>14418</v>
      </c>
      <c r="E23" s="24" t="s">
        <v>77</v>
      </c>
      <c r="F23" s="29">
        <v>159458.66</v>
      </c>
      <c r="G23" s="28">
        <f>+F23/$F$37</f>
        <v>1.9794667686095637E-4</v>
      </c>
    </row>
    <row r="24" spans="1:7" x14ac:dyDescent="0.2">
      <c r="A24" s="24">
        <v>1010</v>
      </c>
      <c r="B24" s="23" t="s">
        <v>61</v>
      </c>
      <c r="C24" s="69">
        <v>36977</v>
      </c>
      <c r="D24" s="31">
        <v>14459</v>
      </c>
      <c r="E24" s="24" t="s">
        <v>77</v>
      </c>
      <c r="F24" s="29">
        <v>2678130.4300000002</v>
      </c>
      <c r="G24" s="28">
        <f>+F24/$F$37</f>
        <v>3.3245420400416265E-3</v>
      </c>
    </row>
    <row r="25" spans="1:7" x14ac:dyDescent="0.2">
      <c r="A25" s="24">
        <v>2966</v>
      </c>
      <c r="B25" s="23" t="s">
        <v>62</v>
      </c>
      <c r="C25" s="69">
        <v>36994</v>
      </c>
      <c r="D25" s="31">
        <v>14602</v>
      </c>
      <c r="E25" s="24" t="s">
        <v>77</v>
      </c>
      <c r="F25" s="29">
        <v>617.11</v>
      </c>
      <c r="G25" s="28">
        <f t="shared" ref="G25:G35" si="0">+F25/$F$37</f>
        <v>7.6605982865819132E-7</v>
      </c>
    </row>
    <row r="26" spans="1:7" x14ac:dyDescent="0.2">
      <c r="A26" s="24">
        <v>1924</v>
      </c>
      <c r="B26" s="23" t="s">
        <v>57</v>
      </c>
      <c r="C26" s="69">
        <v>36977</v>
      </c>
      <c r="D26" s="31">
        <v>14495</v>
      </c>
      <c r="E26" s="24" t="s">
        <v>16</v>
      </c>
      <c r="F26" s="29">
        <v>361251.6</v>
      </c>
      <c r="G26" s="28">
        <f t="shared" si="0"/>
        <v>4.4844572085770356E-4</v>
      </c>
    </row>
    <row r="27" spans="1:7" x14ac:dyDescent="0.2">
      <c r="A27" s="24">
        <v>2606</v>
      </c>
      <c r="B27" s="23" t="s">
        <v>0</v>
      </c>
      <c r="C27" s="69">
        <v>36977</v>
      </c>
      <c r="D27" s="31">
        <v>14483</v>
      </c>
      <c r="E27" s="24" t="s">
        <v>16</v>
      </c>
      <c r="F27" s="29">
        <v>2008731.95</v>
      </c>
      <c r="G27" s="28">
        <f t="shared" si="0"/>
        <v>2.4935730314485818E-3</v>
      </c>
    </row>
    <row r="28" spans="1:7" x14ac:dyDescent="0.2">
      <c r="A28" s="24">
        <v>1243</v>
      </c>
      <c r="B28" s="23" t="s">
        <v>14</v>
      </c>
      <c r="C28" s="69">
        <v>36977</v>
      </c>
      <c r="D28" s="31">
        <v>14510</v>
      </c>
      <c r="E28" s="24" t="s">
        <v>16</v>
      </c>
      <c r="F28" s="29">
        <v>415999776.30000001</v>
      </c>
      <c r="G28" s="28">
        <f t="shared" si="0"/>
        <v>0.51640828596882871</v>
      </c>
    </row>
    <row r="29" spans="1:7" x14ac:dyDescent="0.2">
      <c r="A29" s="24">
        <v>1243</v>
      </c>
      <c r="B29" s="23" t="s">
        <v>14</v>
      </c>
      <c r="C29" s="69">
        <v>36994</v>
      </c>
      <c r="D29" s="31">
        <v>14709</v>
      </c>
      <c r="E29" s="24" t="s">
        <v>16</v>
      </c>
      <c r="F29" s="29">
        <v>14624579.52</v>
      </c>
      <c r="G29" s="28">
        <f t="shared" si="0"/>
        <v>1.8154466596375513E-2</v>
      </c>
    </row>
    <row r="30" spans="1:7" x14ac:dyDescent="0.2">
      <c r="A30" s="24">
        <v>2769</v>
      </c>
      <c r="B30" s="23" t="s">
        <v>186</v>
      </c>
      <c r="C30" s="69">
        <v>36977</v>
      </c>
      <c r="D30" s="31">
        <v>14475</v>
      </c>
      <c r="E30" s="24" t="s">
        <v>16</v>
      </c>
      <c r="F30" s="29">
        <f>206727081.73-2136592.33</f>
        <v>204590489.39999998</v>
      </c>
      <c r="G30" s="28">
        <f t="shared" si="0"/>
        <v>0.25397182877422092</v>
      </c>
    </row>
    <row r="31" spans="1:7" x14ac:dyDescent="0.2">
      <c r="A31" s="24">
        <v>2769</v>
      </c>
      <c r="B31" s="23" t="s">
        <v>14</v>
      </c>
      <c r="C31" s="69">
        <v>36977</v>
      </c>
      <c r="D31" s="31">
        <v>14475</v>
      </c>
      <c r="E31" s="24" t="s">
        <v>16</v>
      </c>
      <c r="F31" s="29">
        <v>2136592.33</v>
      </c>
      <c r="G31" s="28">
        <f t="shared" si="0"/>
        <v>2.6522946544898086E-3</v>
      </c>
    </row>
    <row r="32" spans="1:7" x14ac:dyDescent="0.2">
      <c r="A32" s="24">
        <v>1544</v>
      </c>
      <c r="B32" s="23" t="s">
        <v>4</v>
      </c>
      <c r="C32" s="69">
        <v>36977</v>
      </c>
      <c r="D32" s="31">
        <v>14500</v>
      </c>
      <c r="E32" s="24" t="s">
        <v>16</v>
      </c>
      <c r="F32" s="29">
        <v>1844911.74</v>
      </c>
      <c r="G32" s="28">
        <f t="shared" si="0"/>
        <v>2.2902120714846388E-3</v>
      </c>
    </row>
    <row r="33" spans="1:7" x14ac:dyDescent="0.2">
      <c r="A33" s="24">
        <v>1011</v>
      </c>
      <c r="B33" s="23" t="s">
        <v>187</v>
      </c>
      <c r="C33" s="69">
        <v>36977</v>
      </c>
      <c r="D33" s="31">
        <v>14531</v>
      </c>
      <c r="E33" s="24" t="s">
        <v>16</v>
      </c>
      <c r="F33" s="29">
        <v>3798392.4</v>
      </c>
      <c r="G33" s="28">
        <f t="shared" si="0"/>
        <v>4.7151979892086915E-3</v>
      </c>
    </row>
    <row r="34" spans="1:7" x14ac:dyDescent="0.2">
      <c r="A34" s="24">
        <v>1010</v>
      </c>
      <c r="B34" s="23" t="s">
        <v>61</v>
      </c>
      <c r="C34" s="69">
        <v>36977</v>
      </c>
      <c r="D34" s="31">
        <v>14532</v>
      </c>
      <c r="E34" s="24" t="s">
        <v>16</v>
      </c>
      <c r="F34" s="29">
        <v>155833733.33000001</v>
      </c>
      <c r="G34" s="28">
        <f t="shared" si="0"/>
        <v>0.19344681345942552</v>
      </c>
    </row>
    <row r="35" spans="1:7" x14ac:dyDescent="0.2">
      <c r="A35" s="24">
        <v>2465</v>
      </c>
      <c r="B35" s="23" t="s">
        <v>25</v>
      </c>
      <c r="C35" s="69">
        <v>36977</v>
      </c>
      <c r="D35" s="31">
        <v>14489</v>
      </c>
      <c r="E35" s="24" t="s">
        <v>16</v>
      </c>
      <c r="F35" s="55">
        <v>1298819.78</v>
      </c>
      <c r="G35" s="28">
        <f t="shared" si="0"/>
        <v>1.6123116755921468E-3</v>
      </c>
    </row>
    <row r="36" spans="1:7" x14ac:dyDescent="0.2">
      <c r="A36" s="7"/>
      <c r="B36" s="2"/>
      <c r="C36" s="9"/>
      <c r="D36" s="7"/>
      <c r="E36" s="13"/>
      <c r="F36" s="6"/>
      <c r="G36" s="21"/>
    </row>
    <row r="37" spans="1:7" ht="13.5" thickBot="1" x14ac:dyDescent="0.25">
      <c r="B37" s="1" t="s">
        <v>18</v>
      </c>
      <c r="F37" s="30">
        <f>SUM(F20:F36)</f>
        <v>805563713.06000006</v>
      </c>
      <c r="G37" s="20">
        <f>+F37/F37</f>
        <v>1</v>
      </c>
    </row>
    <row r="38" spans="1:7" ht="13.5" thickTop="1" x14ac:dyDescent="0.2"/>
    <row r="41" spans="1:7" x14ac:dyDescent="0.2">
      <c r="B41" s="82" t="s">
        <v>184</v>
      </c>
    </row>
    <row r="47" spans="1:7" ht="15.75" x14ac:dyDescent="0.25">
      <c r="B47" s="10" t="str">
        <f>+B1</f>
        <v>Certification for Market Settlement September 28, 2001</v>
      </c>
    </row>
    <row r="48" spans="1:7" ht="15.75" x14ac:dyDescent="0.25">
      <c r="B48" s="10"/>
    </row>
    <row r="49" spans="1:7" ht="15.75" x14ac:dyDescent="0.25">
      <c r="B49" s="10" t="s">
        <v>70</v>
      </c>
    </row>
    <row r="50" spans="1:7" ht="15.75" x14ac:dyDescent="0.25">
      <c r="B50" s="10"/>
    </row>
    <row r="51" spans="1:7" ht="15.75" x14ac:dyDescent="0.25">
      <c r="B51" s="10" t="s">
        <v>27</v>
      </c>
    </row>
    <row r="52" spans="1:7" ht="15.75" x14ac:dyDescent="0.25">
      <c r="B52" s="10"/>
    </row>
    <row r="53" spans="1:7" x14ac:dyDescent="0.2">
      <c r="B53" s="21" t="s">
        <v>26</v>
      </c>
      <c r="C53" s="32"/>
      <c r="D53" s="33"/>
      <c r="E53" s="33"/>
      <c r="F53" s="34">
        <v>852880070.61000001</v>
      </c>
      <c r="G53" s="61">
        <f>+F53/F55</f>
        <v>0.94701907326548973</v>
      </c>
    </row>
    <row r="54" spans="1:7" x14ac:dyDescent="0.2">
      <c r="B54" s="21" t="s">
        <v>28</v>
      </c>
      <c r="C54" s="32"/>
      <c r="D54" s="33"/>
      <c r="E54" s="33"/>
      <c r="F54" s="39">
        <v>47714325.729999997</v>
      </c>
      <c r="G54" s="61">
        <f>+F54/F55</f>
        <v>5.2980926734510214E-2</v>
      </c>
    </row>
    <row r="55" spans="1:7" x14ac:dyDescent="0.2">
      <c r="B55" s="35" t="s">
        <v>29</v>
      </c>
      <c r="C55" s="32"/>
      <c r="D55" s="33"/>
      <c r="E55" s="33"/>
      <c r="F55" s="39">
        <f>SUM(F53:F54)</f>
        <v>900594396.34000003</v>
      </c>
      <c r="G55" s="62">
        <f>+F55/F55</f>
        <v>1</v>
      </c>
    </row>
    <row r="56" spans="1:7" ht="15.75" x14ac:dyDescent="0.25">
      <c r="B56" s="10"/>
    </row>
    <row r="57" spans="1:7" x14ac:dyDescent="0.2">
      <c r="B57" s="21" t="s">
        <v>79</v>
      </c>
      <c r="C57" s="32"/>
      <c r="D57" s="33"/>
      <c r="E57" s="33"/>
      <c r="F57" s="6">
        <v>12952984.789999999</v>
      </c>
    </row>
    <row r="58" spans="1:7" x14ac:dyDescent="0.2">
      <c r="B58" s="21" t="s">
        <v>72</v>
      </c>
      <c r="C58" s="32"/>
      <c r="D58" s="33"/>
      <c r="E58" s="33"/>
      <c r="F58" s="39">
        <v>1948770.11</v>
      </c>
    </row>
    <row r="59" spans="1:7" x14ac:dyDescent="0.2">
      <c r="B59" s="35" t="s">
        <v>33</v>
      </c>
      <c r="C59" s="32"/>
      <c r="D59" s="33"/>
      <c r="E59" s="33"/>
      <c r="F59" s="39">
        <f>SUM(F57:F58)</f>
        <v>14901754.899999999</v>
      </c>
      <c r="G59" s="62">
        <f>+F59/F55</f>
        <v>1.654657741660449E-2</v>
      </c>
    </row>
    <row r="60" spans="1:7" ht="15.75" x14ac:dyDescent="0.25">
      <c r="B60" s="10"/>
    </row>
    <row r="61" spans="1:7" s="21" customFormat="1" x14ac:dyDescent="0.2">
      <c r="A61" s="32"/>
      <c r="B61" s="21" t="s">
        <v>138</v>
      </c>
      <c r="C61" s="32"/>
      <c r="D61" s="33"/>
      <c r="E61" s="33"/>
      <c r="F61" s="6">
        <v>7683.69</v>
      </c>
    </row>
    <row r="62" spans="1:7" s="21" customFormat="1" x14ac:dyDescent="0.2">
      <c r="A62" s="32"/>
      <c r="B62" s="21" t="s">
        <v>158</v>
      </c>
      <c r="C62" s="32"/>
      <c r="D62" s="33"/>
      <c r="E62" s="33"/>
      <c r="F62" s="6">
        <f>5033877.99+13.44+217315.41</f>
        <v>5251206.8400000008</v>
      </c>
    </row>
    <row r="63" spans="1:7" s="21" customFormat="1" x14ac:dyDescent="0.2">
      <c r="A63" s="32"/>
      <c r="B63" s="21" t="s">
        <v>157</v>
      </c>
      <c r="C63" s="32"/>
      <c r="D63" s="33"/>
      <c r="E63" s="33"/>
      <c r="F63" s="6">
        <v>30344780.579999998</v>
      </c>
    </row>
    <row r="64" spans="1:7" s="21" customFormat="1" x14ac:dyDescent="0.2">
      <c r="A64" s="32"/>
      <c r="B64" s="21" t="s">
        <v>140</v>
      </c>
      <c r="C64" s="32"/>
      <c r="D64" s="33"/>
      <c r="E64" s="33"/>
      <c r="F64" s="6">
        <f>46774875.92+816816.06</f>
        <v>47591691.980000004</v>
      </c>
    </row>
    <row r="65" spans="1:7" x14ac:dyDescent="0.2">
      <c r="B65" s="1" t="s">
        <v>53</v>
      </c>
      <c r="F65" s="40">
        <f>SUM(F61:F64)</f>
        <v>83195363.090000004</v>
      </c>
      <c r="G65" s="62">
        <f>+F65/F55</f>
        <v>9.2378281974776336E-2</v>
      </c>
    </row>
    <row r="66" spans="1:7" x14ac:dyDescent="0.2">
      <c r="B66" s="1"/>
      <c r="F66" s="36"/>
      <c r="G66" s="62"/>
    </row>
    <row r="67" spans="1:7" s="21" customFormat="1" x14ac:dyDescent="0.2">
      <c r="A67" s="32"/>
      <c r="B67" s="21" t="s">
        <v>156</v>
      </c>
      <c r="C67" s="32"/>
      <c r="D67" s="33"/>
      <c r="E67" s="33"/>
      <c r="F67" s="39">
        <f>3066490.71-56</f>
        <v>3066434.71</v>
      </c>
      <c r="G67" s="62">
        <f>+F67/F55</f>
        <v>3.4049009437122162E-3</v>
      </c>
    </row>
    <row r="68" spans="1:7" ht="15.75" x14ac:dyDescent="0.25">
      <c r="B68" s="10"/>
    </row>
    <row r="69" spans="1:7" ht="16.5" thickBot="1" x14ac:dyDescent="0.3">
      <c r="B69" s="44" t="s">
        <v>35</v>
      </c>
      <c r="C69" s="48"/>
      <c r="D69" s="49"/>
      <c r="E69" s="49"/>
      <c r="F69" s="50">
        <f>+F55-F59-F65+F67</f>
        <v>805563713.06000006</v>
      </c>
      <c r="G69" s="63">
        <f>+F69/F55</f>
        <v>0.89448004155233141</v>
      </c>
    </row>
    <row r="70" spans="1:7" ht="15.75" x14ac:dyDescent="0.25">
      <c r="B70" s="37"/>
      <c r="C70" s="32"/>
      <c r="D70" s="33"/>
      <c r="E70" s="33"/>
      <c r="F70" s="38"/>
    </row>
    <row r="71" spans="1:7" ht="15.75" x14ac:dyDescent="0.25">
      <c r="B71" s="37" t="s">
        <v>34</v>
      </c>
      <c r="C71" s="32"/>
      <c r="D71" s="33"/>
      <c r="E71" s="33"/>
      <c r="F71" s="21"/>
    </row>
    <row r="72" spans="1:7" ht="15.75" x14ac:dyDescent="0.25">
      <c r="B72" s="37"/>
      <c r="C72" s="32"/>
      <c r="D72" s="33"/>
      <c r="E72" s="33"/>
      <c r="F72" s="21"/>
    </row>
    <row r="73" spans="1:7" s="21" customFormat="1" x14ac:dyDescent="0.2">
      <c r="A73" s="32"/>
      <c r="B73" s="21" t="s">
        <v>26</v>
      </c>
      <c r="C73" s="32"/>
      <c r="D73" s="33"/>
      <c r="E73" s="33"/>
      <c r="F73" s="34">
        <v>835450696.79999995</v>
      </c>
      <c r="G73" s="64">
        <f>+F73/F75</f>
        <v>0.94566217633351235</v>
      </c>
    </row>
    <row r="74" spans="1:7" x14ac:dyDescent="0.2">
      <c r="B74" s="21" t="s">
        <v>28</v>
      </c>
      <c r="C74" s="32"/>
      <c r="D74" s="33"/>
      <c r="E74" s="33"/>
      <c r="F74" s="39">
        <v>48005063.310000002</v>
      </c>
      <c r="G74" s="64">
        <f>+F74/F75</f>
        <v>5.4337823666487664E-2</v>
      </c>
    </row>
    <row r="75" spans="1:7" x14ac:dyDescent="0.2">
      <c r="B75" s="35" t="s">
        <v>29</v>
      </c>
      <c r="C75" s="32"/>
      <c r="D75" s="33"/>
      <c r="E75" s="33"/>
      <c r="F75" s="39">
        <f>SUM(F73:F74)</f>
        <v>883455760.1099999</v>
      </c>
      <c r="G75" s="62">
        <f>+F75/F75</f>
        <v>1</v>
      </c>
    </row>
    <row r="76" spans="1:7" ht="15.75" x14ac:dyDescent="0.25">
      <c r="B76" s="10"/>
    </row>
    <row r="77" spans="1:7" x14ac:dyDescent="0.2">
      <c r="B77" s="21" t="s">
        <v>80</v>
      </c>
      <c r="C77" s="32"/>
      <c r="D77" s="33"/>
      <c r="E77" s="33"/>
      <c r="F77" s="6">
        <v>5980329.0499999998</v>
      </c>
    </row>
    <row r="78" spans="1:7" x14ac:dyDescent="0.2">
      <c r="B78" s="21" t="s">
        <v>81</v>
      </c>
      <c r="C78" s="32"/>
      <c r="D78" s="33"/>
      <c r="E78" s="33"/>
      <c r="F78" s="39">
        <v>3500845.61</v>
      </c>
    </row>
    <row r="79" spans="1:7" x14ac:dyDescent="0.2">
      <c r="B79" s="35" t="s">
        <v>41</v>
      </c>
      <c r="C79" s="32"/>
      <c r="D79" s="33"/>
      <c r="E79" s="33"/>
      <c r="F79" s="39">
        <f>SUM(F77:F78)</f>
        <v>9481174.6600000001</v>
      </c>
      <c r="G79" s="62">
        <f>+F79/F75</f>
        <v>1.073191787081618E-2</v>
      </c>
    </row>
    <row r="80" spans="1:7" ht="15.75" x14ac:dyDescent="0.25">
      <c r="B80" s="10"/>
    </row>
    <row r="81" spans="2:7" x14ac:dyDescent="0.2">
      <c r="B81" s="21" t="s">
        <v>159</v>
      </c>
      <c r="C81" s="32"/>
      <c r="D81" s="33"/>
      <c r="E81" s="33"/>
      <c r="F81" s="36">
        <f>122896.33-4775.87+21.04+21483.12</f>
        <v>139624.62</v>
      </c>
    </row>
    <row r="82" spans="2:7" x14ac:dyDescent="0.2">
      <c r="B82" s="21" t="s">
        <v>142</v>
      </c>
      <c r="C82" s="32"/>
      <c r="D82" s="33"/>
      <c r="E82" s="33"/>
      <c r="F82" s="36">
        <f>2355642.34+4780.7</f>
        <v>2360423.04</v>
      </c>
    </row>
    <row r="83" spans="2:7" x14ac:dyDescent="0.2">
      <c r="B83" s="21" t="s">
        <v>160</v>
      </c>
      <c r="C83" s="32"/>
      <c r="D83" s="33"/>
      <c r="E83" s="33"/>
      <c r="F83" s="36">
        <f>46774875.92+838299.18-21483.12</f>
        <v>47591691.980000004</v>
      </c>
    </row>
    <row r="84" spans="2:7" x14ac:dyDescent="0.2">
      <c r="B84" s="21" t="s">
        <v>162</v>
      </c>
      <c r="C84" s="32"/>
      <c r="D84" s="33"/>
      <c r="E84" s="33"/>
      <c r="F84" s="36">
        <f>-5855172.13+4097000</f>
        <v>-1758172.13</v>
      </c>
    </row>
    <row r="85" spans="2:7" x14ac:dyDescent="0.2">
      <c r="B85" s="21" t="s">
        <v>161</v>
      </c>
      <c r="C85" s="32"/>
      <c r="D85" s="33"/>
      <c r="E85" s="33"/>
      <c r="F85" s="36">
        <f>4388030.55-4097000</f>
        <v>291030.54999999981</v>
      </c>
    </row>
    <row r="86" spans="2:7" x14ac:dyDescent="0.2">
      <c r="B86" s="68" t="s">
        <v>154</v>
      </c>
      <c r="C86" s="32"/>
      <c r="D86" s="33"/>
      <c r="E86" s="33"/>
      <c r="F86" s="36">
        <v>127265.99</v>
      </c>
    </row>
    <row r="87" spans="2:7" x14ac:dyDescent="0.2">
      <c r="B87" s="68" t="s">
        <v>153</v>
      </c>
      <c r="F87" s="25">
        <f>882262.79+6706.48</f>
        <v>888969.27</v>
      </c>
    </row>
    <row r="88" spans="2:7" x14ac:dyDescent="0.2">
      <c r="B88" s="68" t="s">
        <v>163</v>
      </c>
      <c r="C88" s="32"/>
      <c r="D88" s="33"/>
      <c r="E88" s="33"/>
      <c r="F88" s="40">
        <v>23446.77</v>
      </c>
    </row>
    <row r="89" spans="2:7" x14ac:dyDescent="0.2">
      <c r="B89" s="1" t="s">
        <v>53</v>
      </c>
      <c r="C89" s="32"/>
      <c r="D89" s="33"/>
      <c r="E89" s="33"/>
      <c r="F89" s="40">
        <f>SUM(F81:F88)</f>
        <v>49664280.090000004</v>
      </c>
      <c r="G89" s="62">
        <f>+F89/F75</f>
        <v>5.6215921987781546E-2</v>
      </c>
    </row>
    <row r="90" spans="2:7" ht="15.75" x14ac:dyDescent="0.25">
      <c r="B90" s="10"/>
    </row>
    <row r="91" spans="2:7" ht="16.5" thickBot="1" x14ac:dyDescent="0.3">
      <c r="B91" s="44" t="s">
        <v>36</v>
      </c>
      <c r="C91" s="48"/>
      <c r="D91" s="49"/>
      <c r="E91" s="49"/>
      <c r="F91" s="50">
        <f>+F75-F79-F89</f>
        <v>824310305.3599999</v>
      </c>
      <c r="G91" s="63">
        <f>+F91/F75</f>
        <v>0.93305216014140224</v>
      </c>
    </row>
    <row r="92" spans="2:7" ht="15.75" x14ac:dyDescent="0.25">
      <c r="B92" s="37"/>
      <c r="C92" s="32"/>
      <c r="D92" s="33"/>
      <c r="E92" s="33"/>
      <c r="F92" s="38"/>
      <c r="G92" s="70"/>
    </row>
    <row r="93" spans="2:7" ht="15.75" x14ac:dyDescent="0.25">
      <c r="B93" s="37" t="s">
        <v>99</v>
      </c>
      <c r="C93" s="32"/>
      <c r="D93" s="33"/>
      <c r="E93" s="33"/>
      <c r="G93" s="70"/>
    </row>
    <row r="94" spans="2:7" ht="15.75" x14ac:dyDescent="0.25">
      <c r="B94" s="37"/>
      <c r="C94" s="32"/>
      <c r="D94" s="33"/>
      <c r="E94" s="33"/>
      <c r="G94" s="70"/>
    </row>
    <row r="95" spans="2:7" x14ac:dyDescent="0.2">
      <c r="B95" s="71" t="s">
        <v>97</v>
      </c>
      <c r="C95" s="32"/>
      <c r="D95" s="33"/>
      <c r="E95" s="33"/>
      <c r="F95" s="34">
        <f>+'Cert Nov-00'!F47-'Cert Nov-00'!F78</f>
        <v>6704830.5400000215</v>
      </c>
      <c r="G95" s="70"/>
    </row>
    <row r="96" spans="2:7" x14ac:dyDescent="0.2">
      <c r="B96" s="71" t="s">
        <v>100</v>
      </c>
      <c r="C96" s="32"/>
      <c r="D96" s="33"/>
      <c r="E96" s="33"/>
      <c r="F96" s="39">
        <f>+F97-F95</f>
        <v>12041761.759999812</v>
      </c>
      <c r="G96" s="70"/>
    </row>
    <row r="97" spans="2:6" ht="16.5" thickBot="1" x14ac:dyDescent="0.3">
      <c r="B97" s="37" t="s">
        <v>98</v>
      </c>
      <c r="F97" s="72">
        <f>+F91-F69</f>
        <v>18746592.299999833</v>
      </c>
    </row>
    <row r="98" spans="2:6" ht="13.5" thickTop="1" x14ac:dyDescent="0.2"/>
    <row r="99" spans="2:6" x14ac:dyDescent="0.2">
      <c r="F99" s="12"/>
    </row>
  </sheetData>
  <phoneticPr fontId="0" type="noConversion"/>
  <pageMargins left="0.5" right="0.25" top="0.5" bottom="0.5" header="0.5" footer="0"/>
  <pageSetup scale="96" orientation="portrait" r:id="rId1"/>
  <headerFooter alignWithMargins="0">
    <oddFooter>&amp;LCertification September 28,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15"/>
  <sheetViews>
    <sheetView zoomScaleNormal="100" workbookViewId="0">
      <selection activeCell="C8" sqref="C8"/>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89</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200</v>
      </c>
      <c r="C8" s="86">
        <v>36923</v>
      </c>
      <c r="D8" s="14"/>
      <c r="E8" s="14"/>
      <c r="F8" s="30">
        <v>975592200.74000001</v>
      </c>
      <c r="G8" s="20">
        <f>+F8/F$8</f>
        <v>1</v>
      </c>
    </row>
    <row r="9" spans="1:7" s="1" customFormat="1" ht="13.5" thickTop="1" x14ac:dyDescent="0.2">
      <c r="A9" s="11"/>
      <c r="C9" s="11"/>
      <c r="D9" s="14"/>
      <c r="E9" s="14"/>
      <c r="F9" s="65"/>
      <c r="G9" s="58"/>
    </row>
    <row r="10" spans="1:7" s="1" customFormat="1" x14ac:dyDescent="0.2">
      <c r="A10" s="11"/>
      <c r="C10" s="11"/>
      <c r="D10" s="14"/>
      <c r="E10" s="14"/>
      <c r="F10" s="65"/>
      <c r="G10" s="58"/>
    </row>
    <row r="11" spans="1:7" ht="15.75" x14ac:dyDescent="0.25">
      <c r="A11" s="10" t="s">
        <v>48</v>
      </c>
    </row>
    <row r="12" spans="1:7" ht="16.5" thickBot="1" x14ac:dyDescent="0.3">
      <c r="A12" s="10" t="s">
        <v>112</v>
      </c>
    </row>
    <row r="13" spans="1:7" s="5" customFormat="1" ht="35.25" thickTop="1" thickBot="1" x14ac:dyDescent="0.25">
      <c r="A13" s="15" t="s">
        <v>11</v>
      </c>
      <c r="B13" s="15" t="s">
        <v>13</v>
      </c>
      <c r="C13" s="15" t="s">
        <v>12</v>
      </c>
      <c r="D13" s="15" t="s">
        <v>17</v>
      </c>
      <c r="E13" s="15" t="s">
        <v>15</v>
      </c>
      <c r="F13" s="16" t="s">
        <v>10</v>
      </c>
      <c r="G13" s="16" t="s">
        <v>55</v>
      </c>
    </row>
    <row r="14" spans="1:7" ht="13.5" thickTop="1" x14ac:dyDescent="0.2"/>
    <row r="15" spans="1:7" x14ac:dyDescent="0.2">
      <c r="A15" s="24">
        <v>1924</v>
      </c>
      <c r="B15" s="23" t="s">
        <v>57</v>
      </c>
      <c r="C15" s="69">
        <v>37005</v>
      </c>
      <c r="D15" s="31">
        <v>14803</v>
      </c>
      <c r="E15" s="24" t="s">
        <v>77</v>
      </c>
      <c r="F15" s="27">
        <v>9619.33</v>
      </c>
      <c r="G15" s="28">
        <f t="shared" ref="G15:G51" si="0">+F15/$F$53</f>
        <v>9.6570139886814452E-6</v>
      </c>
    </row>
    <row r="16" spans="1:7" x14ac:dyDescent="0.2">
      <c r="A16" s="24">
        <v>1007</v>
      </c>
      <c r="B16" s="23" t="s">
        <v>58</v>
      </c>
      <c r="C16" s="69">
        <v>37005</v>
      </c>
      <c r="D16" s="31">
        <v>14832</v>
      </c>
      <c r="E16" s="24" t="s">
        <v>77</v>
      </c>
      <c r="F16" s="29">
        <v>20569.830000000002</v>
      </c>
      <c r="G16" s="28">
        <f t="shared" si="0"/>
        <v>2.0650412872289367E-5</v>
      </c>
    </row>
    <row r="17" spans="1:7" x14ac:dyDescent="0.2">
      <c r="A17" s="24">
        <v>2606</v>
      </c>
      <c r="B17" s="23" t="s">
        <v>0</v>
      </c>
      <c r="C17" s="69">
        <v>37005</v>
      </c>
      <c r="D17" s="31">
        <v>14792</v>
      </c>
      <c r="E17" s="24" t="s">
        <v>77</v>
      </c>
      <c r="F17" s="29">
        <v>275048.65999999997</v>
      </c>
      <c r="G17" s="28">
        <f t="shared" si="0"/>
        <v>2.7612617065721689E-4</v>
      </c>
    </row>
    <row r="18" spans="1:7" x14ac:dyDescent="0.2">
      <c r="A18" s="24">
        <v>2606</v>
      </c>
      <c r="B18" s="23" t="s">
        <v>0</v>
      </c>
      <c r="C18" s="69">
        <v>37021</v>
      </c>
      <c r="D18" s="31">
        <v>14992</v>
      </c>
      <c r="E18" s="24" t="s">
        <v>77</v>
      </c>
      <c r="F18" s="29">
        <v>684.97</v>
      </c>
      <c r="G18" s="28">
        <f t="shared" si="0"/>
        <v>6.8765338873155716E-7</v>
      </c>
    </row>
    <row r="19" spans="1:7" x14ac:dyDescent="0.2">
      <c r="A19" s="24">
        <v>2769</v>
      </c>
      <c r="B19" s="23" t="s">
        <v>186</v>
      </c>
      <c r="C19" s="69">
        <v>37005</v>
      </c>
      <c r="D19" s="31">
        <v>14788</v>
      </c>
      <c r="E19" s="24" t="s">
        <v>77</v>
      </c>
      <c r="F19" s="29">
        <v>3568650.18</v>
      </c>
      <c r="G19" s="28">
        <f t="shared" si="0"/>
        <v>3.582630464800621E-3</v>
      </c>
    </row>
    <row r="20" spans="1:7" x14ac:dyDescent="0.2">
      <c r="A20" s="24">
        <v>2769</v>
      </c>
      <c r="B20" s="23" t="s">
        <v>186</v>
      </c>
      <c r="C20" s="69">
        <v>37021</v>
      </c>
      <c r="D20" s="31">
        <v>14988</v>
      </c>
      <c r="E20" s="24" t="s">
        <v>77</v>
      </c>
      <c r="F20" s="29">
        <v>90679.93</v>
      </c>
      <c r="G20" s="28">
        <f t="shared" si="0"/>
        <v>9.1035171108866644E-5</v>
      </c>
    </row>
    <row r="21" spans="1:7" x14ac:dyDescent="0.2">
      <c r="A21" s="24">
        <v>1544</v>
      </c>
      <c r="B21" s="23" t="s">
        <v>4</v>
      </c>
      <c r="C21" s="69">
        <v>37005</v>
      </c>
      <c r="D21" s="31">
        <v>14807</v>
      </c>
      <c r="E21" s="24" t="s">
        <v>77</v>
      </c>
      <c r="F21" s="29">
        <v>105256.55</v>
      </c>
      <c r="G21" s="28">
        <f t="shared" si="0"/>
        <v>1.0566889541686874E-4</v>
      </c>
    </row>
    <row r="22" spans="1:7" x14ac:dyDescent="0.2">
      <c r="A22" s="24">
        <v>1544</v>
      </c>
      <c r="B22" s="23" t="s">
        <v>4</v>
      </c>
      <c r="C22" s="69">
        <v>37021</v>
      </c>
      <c r="D22" s="31">
        <v>15007</v>
      </c>
      <c r="E22" s="24" t="s">
        <v>77</v>
      </c>
      <c r="F22" s="29">
        <v>207.76</v>
      </c>
      <c r="G22" s="28">
        <f t="shared" si="0"/>
        <v>2.0857390548909922E-7</v>
      </c>
    </row>
    <row r="23" spans="1:7" x14ac:dyDescent="0.2">
      <c r="A23" s="24">
        <v>3106</v>
      </c>
      <c r="B23" s="23" t="s">
        <v>185</v>
      </c>
      <c r="C23" s="69">
        <v>37005</v>
      </c>
      <c r="D23" s="31">
        <v>14781</v>
      </c>
      <c r="E23" s="24" t="s">
        <v>77</v>
      </c>
      <c r="F23" s="29">
        <f>4291209.47-5849.58</f>
        <v>4285359.8899999997</v>
      </c>
      <c r="G23" s="28">
        <f t="shared" si="0"/>
        <v>4.3021479047152325E-3</v>
      </c>
    </row>
    <row r="24" spans="1:7" x14ac:dyDescent="0.2">
      <c r="A24" s="24">
        <v>1011</v>
      </c>
      <c r="B24" s="23" t="s">
        <v>185</v>
      </c>
      <c r="C24" s="69">
        <v>37005</v>
      </c>
      <c r="D24" s="31">
        <v>14829</v>
      </c>
      <c r="E24" s="24" t="s">
        <v>77</v>
      </c>
      <c r="F24" s="29">
        <f>639755.47-852.92</f>
        <v>638902.54999999993</v>
      </c>
      <c r="G24" s="28">
        <f t="shared" si="0"/>
        <v>6.4140546823471549E-4</v>
      </c>
    </row>
    <row r="25" spans="1:7" x14ac:dyDescent="0.2">
      <c r="A25" s="24">
        <v>2528</v>
      </c>
      <c r="B25" s="23" t="s">
        <v>76</v>
      </c>
      <c r="C25" s="69">
        <v>37005</v>
      </c>
      <c r="D25" s="31">
        <v>14795</v>
      </c>
      <c r="E25" s="24" t="s">
        <v>77</v>
      </c>
      <c r="F25" s="29">
        <v>157012.97</v>
      </c>
      <c r="G25" s="28">
        <f t="shared" si="0"/>
        <v>1.5762807260946658E-4</v>
      </c>
    </row>
    <row r="26" spans="1:7" x14ac:dyDescent="0.2">
      <c r="A26" s="24">
        <v>1024</v>
      </c>
      <c r="B26" s="23" t="s">
        <v>8</v>
      </c>
      <c r="C26" s="69">
        <v>37005</v>
      </c>
      <c r="D26" s="31">
        <v>14821</v>
      </c>
      <c r="E26" s="24" t="s">
        <v>77</v>
      </c>
      <c r="F26" s="29">
        <f>885.39-118.81</f>
        <v>766.57999999999993</v>
      </c>
      <c r="G26" s="28">
        <f t="shared" si="0"/>
        <v>7.6958309814128647E-7</v>
      </c>
    </row>
    <row r="27" spans="1:7" x14ac:dyDescent="0.2">
      <c r="A27" s="24">
        <v>1010</v>
      </c>
      <c r="B27" s="23" t="s">
        <v>61</v>
      </c>
      <c r="C27" s="69">
        <v>37005</v>
      </c>
      <c r="D27" s="31">
        <v>14830</v>
      </c>
      <c r="E27" s="24" t="s">
        <v>77</v>
      </c>
      <c r="F27" s="29">
        <v>5142134.4000000004</v>
      </c>
      <c r="G27" s="28">
        <f t="shared" si="0"/>
        <v>5.162278852319244E-3</v>
      </c>
    </row>
    <row r="28" spans="1:7" x14ac:dyDescent="0.2">
      <c r="A28" s="24">
        <v>1924</v>
      </c>
      <c r="B28" s="23" t="s">
        <v>57</v>
      </c>
      <c r="C28" s="69">
        <v>37005</v>
      </c>
      <c r="D28" s="31">
        <v>14870</v>
      </c>
      <c r="E28" s="24" t="s">
        <v>16</v>
      </c>
      <c r="F28" s="29">
        <v>508508.33</v>
      </c>
      <c r="G28" s="28">
        <f t="shared" si="0"/>
        <v>5.1050042530727615E-4</v>
      </c>
    </row>
    <row r="29" spans="1:7" x14ac:dyDescent="0.2">
      <c r="A29" s="24">
        <v>1924</v>
      </c>
      <c r="B29" s="23" t="s">
        <v>57</v>
      </c>
      <c r="C29" s="69">
        <v>37021</v>
      </c>
      <c r="D29" s="31">
        <v>15070</v>
      </c>
      <c r="E29" s="24" t="s">
        <v>16</v>
      </c>
      <c r="F29" s="29">
        <v>45068.84</v>
      </c>
      <c r="G29" s="28">
        <f t="shared" si="0"/>
        <v>4.5245398414821592E-5</v>
      </c>
    </row>
    <row r="30" spans="1:7" x14ac:dyDescent="0.2">
      <c r="A30" s="24">
        <v>1007</v>
      </c>
      <c r="B30" s="23" t="s">
        <v>58</v>
      </c>
      <c r="C30" s="69">
        <v>37005</v>
      </c>
      <c r="D30" s="31">
        <v>14908</v>
      </c>
      <c r="E30" s="24" t="s">
        <v>16</v>
      </c>
      <c r="F30" s="29">
        <v>1024112.25</v>
      </c>
      <c r="G30" s="28">
        <f t="shared" si="0"/>
        <v>1.028124237782676E-3</v>
      </c>
    </row>
    <row r="31" spans="1:7" x14ac:dyDescent="0.2">
      <c r="A31" s="24">
        <v>2606</v>
      </c>
      <c r="B31" s="23" t="s">
        <v>0</v>
      </c>
      <c r="C31" s="69">
        <v>37005</v>
      </c>
      <c r="D31" s="31">
        <v>14857</v>
      </c>
      <c r="E31" s="24" t="s">
        <v>16</v>
      </c>
      <c r="F31" s="29">
        <v>6897234.6200000001</v>
      </c>
      <c r="G31" s="28">
        <f t="shared" si="0"/>
        <v>6.9242547254910634E-3</v>
      </c>
    </row>
    <row r="32" spans="1:7" x14ac:dyDescent="0.2">
      <c r="A32" s="24">
        <v>2606</v>
      </c>
      <c r="B32" s="23" t="s">
        <v>0</v>
      </c>
      <c r="C32" s="69">
        <v>37021</v>
      </c>
      <c r="D32" s="31">
        <v>15057</v>
      </c>
      <c r="E32" s="24" t="s">
        <v>16</v>
      </c>
      <c r="F32" s="29">
        <v>1350389.95</v>
      </c>
      <c r="G32" s="28">
        <f t="shared" si="0"/>
        <v>1.3556801396068996E-3</v>
      </c>
    </row>
    <row r="33" spans="1:7" x14ac:dyDescent="0.2">
      <c r="A33" s="24">
        <v>1243</v>
      </c>
      <c r="B33" s="23" t="s">
        <v>14</v>
      </c>
      <c r="C33" s="69">
        <v>37005</v>
      </c>
      <c r="D33" s="31">
        <v>14884</v>
      </c>
      <c r="E33" s="24" t="s">
        <v>16</v>
      </c>
      <c r="F33" s="29">
        <v>9016270.5199999996</v>
      </c>
      <c r="G33" s="28">
        <f t="shared" si="0"/>
        <v>9.0515920066549464E-3</v>
      </c>
    </row>
    <row r="34" spans="1:7" x14ac:dyDescent="0.2">
      <c r="A34" s="24">
        <v>2769</v>
      </c>
      <c r="B34" s="23" t="s">
        <v>186</v>
      </c>
      <c r="C34" s="69">
        <v>37005</v>
      </c>
      <c r="D34" s="31">
        <v>14850</v>
      </c>
      <c r="E34" s="24" t="s">
        <v>16</v>
      </c>
      <c r="F34" s="29">
        <v>298219558.92000002</v>
      </c>
      <c r="G34" s="28">
        <f t="shared" si="0"/>
        <v>0.29938784220822556</v>
      </c>
    </row>
    <row r="35" spans="1:7" x14ac:dyDescent="0.2">
      <c r="A35" s="24">
        <v>2769</v>
      </c>
      <c r="B35" s="23" t="s">
        <v>186</v>
      </c>
      <c r="C35" s="69">
        <v>37021</v>
      </c>
      <c r="D35" s="31">
        <v>15050</v>
      </c>
      <c r="E35" s="24" t="s">
        <v>16</v>
      </c>
      <c r="F35" s="29">
        <v>22318778.210000001</v>
      </c>
      <c r="G35" s="28">
        <f t="shared" si="0"/>
        <v>2.2406212634793549E-2</v>
      </c>
    </row>
    <row r="36" spans="1:7" x14ac:dyDescent="0.2">
      <c r="A36" s="24">
        <v>1584</v>
      </c>
      <c r="B36" s="23" t="s">
        <v>1</v>
      </c>
      <c r="C36" s="69">
        <v>37005</v>
      </c>
      <c r="D36" s="31">
        <v>14876</v>
      </c>
      <c r="E36" s="24" t="s">
        <v>16</v>
      </c>
      <c r="F36" s="29">
        <v>291092.84999999998</v>
      </c>
      <c r="G36" s="28">
        <f t="shared" si="0"/>
        <v>2.9223321421088051E-4</v>
      </c>
    </row>
    <row r="37" spans="1:7" x14ac:dyDescent="0.2">
      <c r="A37" s="24">
        <v>1684</v>
      </c>
      <c r="B37" s="23" t="s">
        <v>92</v>
      </c>
      <c r="C37" s="69">
        <v>37005</v>
      </c>
      <c r="D37" s="31">
        <v>14873</v>
      </c>
      <c r="E37" s="24" t="s">
        <v>16</v>
      </c>
      <c r="F37" s="29">
        <f>66990.38-8896.57</f>
        <v>58093.810000000005</v>
      </c>
      <c r="G37" s="28">
        <f t="shared" si="0"/>
        <v>5.8321394091459803E-5</v>
      </c>
    </row>
    <row r="38" spans="1:7" x14ac:dyDescent="0.2">
      <c r="A38" s="24">
        <v>1103</v>
      </c>
      <c r="B38" s="23" t="s">
        <v>24</v>
      </c>
      <c r="C38" s="69">
        <v>37021</v>
      </c>
      <c r="D38" s="31">
        <v>15093</v>
      </c>
      <c r="E38" s="24" t="s">
        <v>16</v>
      </c>
      <c r="F38" s="29">
        <v>189667.55</v>
      </c>
      <c r="G38" s="28">
        <f t="shared" si="0"/>
        <v>1.9041057782079803E-4</v>
      </c>
    </row>
    <row r="39" spans="1:7" x14ac:dyDescent="0.2">
      <c r="A39" s="24">
        <v>1544</v>
      </c>
      <c r="B39" s="23" t="s">
        <v>4</v>
      </c>
      <c r="C39" s="69">
        <v>37005</v>
      </c>
      <c r="D39" s="31">
        <v>14875</v>
      </c>
      <c r="E39" s="24" t="s">
        <v>16</v>
      </c>
      <c r="F39" s="29">
        <v>1784223.49</v>
      </c>
      <c r="G39" s="28">
        <f t="shared" si="0"/>
        <v>1.7912132343795282E-3</v>
      </c>
    </row>
    <row r="40" spans="1:7" x14ac:dyDescent="0.2">
      <c r="A40" s="24">
        <v>1544</v>
      </c>
      <c r="B40" s="23" t="s">
        <v>4</v>
      </c>
      <c r="C40" s="69">
        <v>37021</v>
      </c>
      <c r="D40" s="31">
        <v>15075</v>
      </c>
      <c r="E40" s="24" t="s">
        <v>16</v>
      </c>
      <c r="F40" s="29">
        <v>357475.41</v>
      </c>
      <c r="G40" s="28">
        <f t="shared" si="0"/>
        <v>3.5887582970743642E-4</v>
      </c>
    </row>
    <row r="41" spans="1:7" x14ac:dyDescent="0.2">
      <c r="A41" s="24">
        <v>3106</v>
      </c>
      <c r="B41" s="23" t="s">
        <v>185</v>
      </c>
      <c r="C41" s="69">
        <v>37005</v>
      </c>
      <c r="D41" s="31">
        <v>14839</v>
      </c>
      <c r="E41" s="24" t="s">
        <v>16</v>
      </c>
      <c r="F41" s="29">
        <f>156420353.66-3328521.87</f>
        <v>153091831.78999999</v>
      </c>
      <c r="G41" s="28">
        <f t="shared" si="0"/>
        <v>0.15369157323315621</v>
      </c>
    </row>
    <row r="42" spans="1:7" x14ac:dyDescent="0.2">
      <c r="A42" s="24">
        <v>3106</v>
      </c>
      <c r="B42" s="23" t="s">
        <v>185</v>
      </c>
      <c r="C42" s="69">
        <v>37021</v>
      </c>
      <c r="D42" s="31">
        <v>15039</v>
      </c>
      <c r="E42" s="24" t="s">
        <v>16</v>
      </c>
      <c r="F42" s="29">
        <v>10964758.17</v>
      </c>
      <c r="G42" s="28">
        <f t="shared" si="0"/>
        <v>1.1007712910379325E-2</v>
      </c>
    </row>
    <row r="43" spans="1:7" x14ac:dyDescent="0.2">
      <c r="A43" s="24">
        <v>1011</v>
      </c>
      <c r="B43" s="23" t="s">
        <v>185</v>
      </c>
      <c r="C43" s="69">
        <v>37005</v>
      </c>
      <c r="D43" s="31">
        <v>14905</v>
      </c>
      <c r="E43" s="24" t="s">
        <v>16</v>
      </c>
      <c r="F43" s="29">
        <v>16247132.24</v>
      </c>
      <c r="G43" s="28">
        <f t="shared" si="0"/>
        <v>1.6310780825445983E-2</v>
      </c>
    </row>
    <row r="44" spans="1:7" x14ac:dyDescent="0.2">
      <c r="A44" s="24">
        <v>1011</v>
      </c>
      <c r="B44" s="23" t="s">
        <v>185</v>
      </c>
      <c r="C44" s="69">
        <v>37021</v>
      </c>
      <c r="D44" s="31">
        <v>15105</v>
      </c>
      <c r="E44" s="24" t="s">
        <v>16</v>
      </c>
      <c r="F44" s="29">
        <v>2153805.64</v>
      </c>
      <c r="G44" s="28">
        <f t="shared" si="0"/>
        <v>2.1622432325724343E-3</v>
      </c>
    </row>
    <row r="45" spans="1:7" x14ac:dyDescent="0.2">
      <c r="A45" s="24">
        <v>2528</v>
      </c>
      <c r="B45" s="23" t="s">
        <v>76</v>
      </c>
      <c r="C45" s="69">
        <v>37005</v>
      </c>
      <c r="D45" s="31">
        <v>14861</v>
      </c>
      <c r="E45" s="24" t="s">
        <v>16</v>
      </c>
      <c r="F45" s="29">
        <v>1223.99</v>
      </c>
      <c r="G45" s="28">
        <f t="shared" si="0"/>
        <v>1.2287850143415604E-6</v>
      </c>
    </row>
    <row r="46" spans="1:7" x14ac:dyDescent="0.2">
      <c r="A46" s="24">
        <v>1008</v>
      </c>
      <c r="B46" s="23" t="s">
        <v>7</v>
      </c>
      <c r="C46" s="69">
        <v>37005</v>
      </c>
      <c r="D46" s="31">
        <v>14907</v>
      </c>
      <c r="E46" s="24" t="s">
        <v>16</v>
      </c>
      <c r="F46" s="29">
        <v>38142.15</v>
      </c>
      <c r="G46" s="28">
        <f t="shared" si="0"/>
        <v>3.8291572917072809E-5</v>
      </c>
    </row>
    <row r="47" spans="1:7" x14ac:dyDescent="0.2">
      <c r="A47" s="24">
        <v>1008</v>
      </c>
      <c r="B47" s="23" t="s">
        <v>7</v>
      </c>
      <c r="C47" s="69">
        <v>37021</v>
      </c>
      <c r="D47" s="31">
        <v>15107</v>
      </c>
      <c r="E47" s="24" t="s">
        <v>16</v>
      </c>
      <c r="F47" s="29">
        <v>8419.49</v>
      </c>
      <c r="G47" s="28">
        <f t="shared" si="0"/>
        <v>8.4524735826261836E-6</v>
      </c>
    </row>
    <row r="48" spans="1:7" x14ac:dyDescent="0.2">
      <c r="A48" s="24">
        <v>1024</v>
      </c>
      <c r="B48" s="23" t="s">
        <v>8</v>
      </c>
      <c r="C48" s="69">
        <v>37005</v>
      </c>
      <c r="D48" s="31">
        <v>14896</v>
      </c>
      <c r="E48" s="24" t="s">
        <v>16</v>
      </c>
      <c r="F48" s="29">
        <v>203919.45</v>
      </c>
      <c r="G48" s="28">
        <f t="shared" si="0"/>
        <v>2.0471831002930832E-4</v>
      </c>
    </row>
    <row r="49" spans="1:7" x14ac:dyDescent="0.2">
      <c r="A49" s="24">
        <v>1024</v>
      </c>
      <c r="B49" s="23" t="s">
        <v>8</v>
      </c>
      <c r="C49" s="69">
        <v>37021</v>
      </c>
      <c r="D49" s="31">
        <v>15096</v>
      </c>
      <c r="E49" s="24" t="s">
        <v>16</v>
      </c>
      <c r="F49" s="29">
        <v>18881.310000000001</v>
      </c>
      <c r="G49" s="28">
        <f t="shared" si="0"/>
        <v>1.8955278048952563E-5</v>
      </c>
    </row>
    <row r="50" spans="1:7" x14ac:dyDescent="0.2">
      <c r="A50" s="24">
        <v>1010</v>
      </c>
      <c r="B50" s="23" t="s">
        <v>61</v>
      </c>
      <c r="C50" s="69">
        <v>37005</v>
      </c>
      <c r="D50" s="31">
        <v>14906</v>
      </c>
      <c r="E50" s="24" t="s">
        <v>16</v>
      </c>
      <c r="F50" s="29">
        <v>420279224.39999998</v>
      </c>
      <c r="G50" s="28">
        <f t="shared" si="0"/>
        <v>0.42192567977010748</v>
      </c>
    </row>
    <row r="51" spans="1:7" x14ac:dyDescent="0.2">
      <c r="A51" s="24">
        <v>1010</v>
      </c>
      <c r="B51" s="23" t="s">
        <v>61</v>
      </c>
      <c r="C51" s="69">
        <v>37021</v>
      </c>
      <c r="D51" s="31">
        <v>15106</v>
      </c>
      <c r="E51" s="24" t="s">
        <v>16</v>
      </c>
      <c r="F51" s="55">
        <v>36735052.770000003</v>
      </c>
      <c r="G51" s="56">
        <f t="shared" si="0"/>
        <v>3.6878963345143692E-2</v>
      </c>
    </row>
    <row r="52" spans="1:7" x14ac:dyDescent="0.2">
      <c r="A52" s="19"/>
      <c r="B52" s="18"/>
      <c r="C52" s="73"/>
      <c r="D52" s="32"/>
      <c r="E52" s="19"/>
      <c r="F52" s="6"/>
      <c r="G52" s="57"/>
    </row>
    <row r="53" spans="1:7" ht="13.5" thickBot="1" x14ac:dyDescent="0.25">
      <c r="B53" s="1" t="s">
        <v>18</v>
      </c>
      <c r="F53" s="30">
        <f>SUM(F15:F52)</f>
        <v>996097759.75000012</v>
      </c>
      <c r="G53" s="20">
        <f>+F53/F53</f>
        <v>1</v>
      </c>
    </row>
    <row r="54" spans="1:7" ht="13.5" thickTop="1" x14ac:dyDescent="0.2">
      <c r="A54" s="19"/>
      <c r="B54" s="18"/>
      <c r="C54" s="73"/>
      <c r="D54" s="32"/>
      <c r="E54" s="19"/>
      <c r="F54" s="6"/>
      <c r="G54" s="57"/>
    </row>
    <row r="55" spans="1:7" x14ac:dyDescent="0.2">
      <c r="B55" s="82" t="s">
        <v>184</v>
      </c>
    </row>
    <row r="56" spans="1:7" x14ac:dyDescent="0.2">
      <c r="B56" s="82"/>
    </row>
    <row r="57" spans="1:7" ht="15.75" x14ac:dyDescent="0.25">
      <c r="B57" s="10" t="str">
        <f>+B1</f>
        <v>Certification for Market Settlement September 28, 2001</v>
      </c>
    </row>
    <row r="58" spans="1:7" ht="15.75" x14ac:dyDescent="0.25">
      <c r="B58" s="10"/>
    </row>
    <row r="59" spans="1:7" ht="15.75" x14ac:dyDescent="0.25">
      <c r="B59" s="10" t="str">
        <f>+B3</f>
        <v>For the Trade Month of February 2001</v>
      </c>
    </row>
    <row r="60" spans="1:7" ht="15.75" x14ac:dyDescent="0.25">
      <c r="B60" s="10"/>
    </row>
    <row r="61" spans="1:7" ht="15.75" x14ac:dyDescent="0.25">
      <c r="B61" s="10" t="s">
        <v>27</v>
      </c>
    </row>
    <row r="62" spans="1:7" ht="15.75" x14ac:dyDescent="0.25">
      <c r="B62" s="10"/>
    </row>
    <row r="63" spans="1:7" x14ac:dyDescent="0.2">
      <c r="B63" s="21" t="s">
        <v>26</v>
      </c>
      <c r="C63" s="32"/>
      <c r="D63" s="33"/>
      <c r="E63" s="33"/>
      <c r="F63" s="34">
        <v>972588030.84000003</v>
      </c>
      <c r="G63" s="61">
        <f>+F63/F65</f>
        <v>0.92227598723775517</v>
      </c>
    </row>
    <row r="64" spans="1:7" x14ac:dyDescent="0.2">
      <c r="B64" s="21" t="s">
        <v>28</v>
      </c>
      <c r="C64" s="32"/>
      <c r="D64" s="33"/>
      <c r="E64" s="33"/>
      <c r="F64" s="39">
        <v>81964016.810000002</v>
      </c>
      <c r="G64" s="61">
        <f>+F64/F65</f>
        <v>7.7724012762244804E-2</v>
      </c>
    </row>
    <row r="65" spans="1:7" x14ac:dyDescent="0.2">
      <c r="B65" s="35" t="s">
        <v>29</v>
      </c>
      <c r="C65" s="32"/>
      <c r="D65" s="33"/>
      <c r="E65" s="33"/>
      <c r="F65" s="39">
        <f>SUM(F63:F64)</f>
        <v>1054552047.6500001</v>
      </c>
      <c r="G65" s="62">
        <f>+F65/F65</f>
        <v>1</v>
      </c>
    </row>
    <row r="66" spans="1:7" ht="15.75" x14ac:dyDescent="0.25">
      <c r="B66" s="10"/>
    </row>
    <row r="67" spans="1:7" x14ac:dyDescent="0.2">
      <c r="B67" s="21" t="s">
        <v>93</v>
      </c>
      <c r="C67" s="32"/>
      <c r="D67" s="33"/>
      <c r="E67" s="33"/>
      <c r="F67" s="6">
        <v>59861543.329999998</v>
      </c>
    </row>
    <row r="68" spans="1:7" x14ac:dyDescent="0.2">
      <c r="B68" s="21" t="s">
        <v>94</v>
      </c>
      <c r="C68" s="32"/>
      <c r="D68" s="33"/>
      <c r="E68" s="33"/>
      <c r="F68" s="6">
        <v>1703105.49</v>
      </c>
    </row>
    <row r="69" spans="1:7" x14ac:dyDescent="0.2">
      <c r="B69" s="21" t="s">
        <v>103</v>
      </c>
      <c r="C69" s="32"/>
      <c r="D69" s="33"/>
      <c r="E69" s="33"/>
      <c r="F69" s="6">
        <v>171667.35</v>
      </c>
    </row>
    <row r="70" spans="1:7" x14ac:dyDescent="0.2">
      <c r="B70" s="21" t="s">
        <v>102</v>
      </c>
      <c r="C70" s="32"/>
      <c r="D70" s="33"/>
      <c r="E70" s="33"/>
      <c r="F70" s="6">
        <v>2754904.04</v>
      </c>
    </row>
    <row r="71" spans="1:7" x14ac:dyDescent="0.2">
      <c r="B71" s="21" t="s">
        <v>114</v>
      </c>
      <c r="C71" s="32"/>
      <c r="D71" s="33"/>
      <c r="E71" s="33"/>
      <c r="F71" s="6">
        <v>459411.62</v>
      </c>
    </row>
    <row r="72" spans="1:7" x14ac:dyDescent="0.2">
      <c r="B72" s="21" t="s">
        <v>164</v>
      </c>
      <c r="C72" s="32"/>
      <c r="D72" s="33"/>
      <c r="E72" s="33"/>
      <c r="F72" s="39">
        <v>24932.27</v>
      </c>
    </row>
    <row r="73" spans="1:7" x14ac:dyDescent="0.2">
      <c r="B73" s="35" t="s">
        <v>33</v>
      </c>
      <c r="C73" s="32"/>
      <c r="D73" s="33"/>
      <c r="E73" s="33"/>
      <c r="F73" s="39">
        <f>SUM(F67:F72)</f>
        <v>64975564.100000001</v>
      </c>
      <c r="G73" s="62">
        <f>+F73/F65</f>
        <v>6.1614373842233554E-2</v>
      </c>
    </row>
    <row r="74" spans="1:7" ht="15.75" x14ac:dyDescent="0.25">
      <c r="B74" s="10"/>
    </row>
    <row r="75" spans="1:7" s="21" customFormat="1" x14ac:dyDescent="0.2">
      <c r="A75" s="32"/>
      <c r="B75" s="21" t="s">
        <v>138</v>
      </c>
      <c r="C75" s="32"/>
      <c r="D75" s="33"/>
      <c r="E75" s="33"/>
      <c r="F75" s="6">
        <v>25515.38</v>
      </c>
    </row>
    <row r="76" spans="1:7" s="21" customFormat="1" x14ac:dyDescent="0.2">
      <c r="A76" s="32"/>
      <c r="B76" s="21" t="s">
        <v>158</v>
      </c>
      <c r="C76" s="32"/>
      <c r="D76" s="33"/>
      <c r="E76" s="33"/>
      <c r="F76" s="6">
        <v>33196.74</v>
      </c>
    </row>
    <row r="77" spans="1:7" s="21" customFormat="1" x14ac:dyDescent="0.2">
      <c r="A77" s="32"/>
      <c r="B77" s="21" t="s">
        <v>166</v>
      </c>
      <c r="C77" s="32"/>
      <c r="D77" s="33"/>
      <c r="E77" s="33"/>
      <c r="F77" s="6">
        <v>127265.99</v>
      </c>
    </row>
    <row r="78" spans="1:7" s="21" customFormat="1" x14ac:dyDescent="0.2">
      <c r="A78" s="32"/>
      <c r="B78" s="21" t="s">
        <v>143</v>
      </c>
      <c r="C78" s="32"/>
      <c r="D78" s="33"/>
      <c r="E78" s="33"/>
      <c r="F78" s="6">
        <f>12423.05+4221121.69+5615.29</f>
        <v>4239160.03</v>
      </c>
    </row>
    <row r="79" spans="1:7" s="21" customFormat="1" x14ac:dyDescent="0.2">
      <c r="A79" s="32"/>
      <c r="B79" s="21" t="s">
        <v>167</v>
      </c>
      <c r="C79" s="32"/>
      <c r="D79" s="33"/>
      <c r="E79" s="33"/>
      <c r="F79" s="6">
        <f>22.1-9.19</f>
        <v>12.910000000000002</v>
      </c>
    </row>
    <row r="80" spans="1:7" s="21" customFormat="1" x14ac:dyDescent="0.2">
      <c r="A80" s="32"/>
      <c r="B80" s="21" t="s">
        <v>146</v>
      </c>
      <c r="C80" s="32"/>
      <c r="D80" s="33"/>
      <c r="E80" s="33"/>
      <c r="F80" s="6">
        <f>522.23</f>
        <v>522.23</v>
      </c>
    </row>
    <row r="81" spans="1:7" s="21" customFormat="1" x14ac:dyDescent="0.2">
      <c r="A81" s="32"/>
      <c r="B81" s="21" t="s">
        <v>202</v>
      </c>
      <c r="C81" s="32"/>
      <c r="D81" s="33"/>
      <c r="E81" s="33"/>
      <c r="F81" s="6">
        <v>10525.68</v>
      </c>
    </row>
    <row r="82" spans="1:7" s="21" customFormat="1" x14ac:dyDescent="0.2">
      <c r="A82" s="32"/>
      <c r="B82" s="21" t="s">
        <v>201</v>
      </c>
      <c r="C82" s="32"/>
      <c r="D82" s="33"/>
      <c r="E82" s="33"/>
      <c r="F82" s="39">
        <v>3337418.44</v>
      </c>
    </row>
    <row r="83" spans="1:7" x14ac:dyDescent="0.2">
      <c r="B83" s="1" t="s">
        <v>53</v>
      </c>
      <c r="F83" s="40">
        <f>SUM(F75:F82)</f>
        <v>7773617.4000000004</v>
      </c>
      <c r="G83" s="62">
        <f>+F83/F65</f>
        <v>7.371487654234796E-3</v>
      </c>
    </row>
    <row r="84" spans="1:7" x14ac:dyDescent="0.2">
      <c r="B84" s="1"/>
      <c r="F84" s="36"/>
      <c r="G84" s="62"/>
    </row>
    <row r="85" spans="1:7" s="21" customFormat="1" x14ac:dyDescent="0.2">
      <c r="A85" s="32"/>
      <c r="B85" s="21" t="s">
        <v>165</v>
      </c>
      <c r="C85" s="32"/>
      <c r="D85" s="33"/>
      <c r="E85" s="33"/>
      <c r="F85" s="39">
        <v>14294893.6</v>
      </c>
      <c r="G85" s="62">
        <f>+F85/F65</f>
        <v>1.3555417802141895E-2</v>
      </c>
    </row>
    <row r="86" spans="1:7" ht="15.75" x14ac:dyDescent="0.25">
      <c r="B86" s="10"/>
    </row>
    <row r="87" spans="1:7" ht="16.5" thickBot="1" x14ac:dyDescent="0.3">
      <c r="B87" s="44" t="s">
        <v>35</v>
      </c>
      <c r="C87" s="48"/>
      <c r="D87" s="49"/>
      <c r="E87" s="49"/>
      <c r="F87" s="50">
        <f>+F65-F73-F83+F85</f>
        <v>996097759.75000012</v>
      </c>
      <c r="G87" s="63">
        <f>+F87/F65</f>
        <v>0.94456955630567352</v>
      </c>
    </row>
    <row r="88" spans="1:7" ht="15.75" x14ac:dyDescent="0.25">
      <c r="B88" s="37"/>
      <c r="C88" s="32"/>
      <c r="D88" s="33"/>
      <c r="E88" s="33"/>
      <c r="F88" s="38"/>
    </row>
    <row r="89" spans="1:7" ht="15.75" x14ac:dyDescent="0.25">
      <c r="B89" s="37" t="s">
        <v>34</v>
      </c>
      <c r="C89" s="32"/>
      <c r="D89" s="33"/>
      <c r="E89" s="33"/>
      <c r="F89" s="21"/>
    </row>
    <row r="90" spans="1:7" ht="15.75" x14ac:dyDescent="0.25">
      <c r="B90" s="37"/>
      <c r="C90" s="32"/>
      <c r="D90" s="33"/>
      <c r="E90" s="33"/>
      <c r="F90" s="21"/>
    </row>
    <row r="91" spans="1:7" s="21" customFormat="1" x14ac:dyDescent="0.2">
      <c r="A91" s="32"/>
      <c r="B91" s="21" t="s">
        <v>26</v>
      </c>
      <c r="C91" s="32"/>
      <c r="D91" s="33"/>
      <c r="E91" s="33"/>
      <c r="F91" s="34">
        <v>952742085.5</v>
      </c>
      <c r="G91" s="64">
        <f>+F91/F93</f>
        <v>0.92078371675781356</v>
      </c>
    </row>
    <row r="92" spans="1:7" x14ac:dyDescent="0.2">
      <c r="B92" s="21" t="s">
        <v>28</v>
      </c>
      <c r="C92" s="32"/>
      <c r="D92" s="33"/>
      <c r="E92" s="33"/>
      <c r="F92" s="39">
        <v>81965705.439999998</v>
      </c>
      <c r="G92" s="64">
        <f>+F92/F93</f>
        <v>7.9216283242186367E-2</v>
      </c>
    </row>
    <row r="93" spans="1:7" x14ac:dyDescent="0.2">
      <c r="B93" s="35" t="s">
        <v>29</v>
      </c>
      <c r="C93" s="32"/>
      <c r="D93" s="33"/>
      <c r="E93" s="33"/>
      <c r="F93" s="39">
        <f>SUM(F91:F92)</f>
        <v>1034707790.9400001</v>
      </c>
      <c r="G93" s="62">
        <f>+F93/F93</f>
        <v>1</v>
      </c>
    </row>
    <row r="94" spans="1:7" ht="15.75" x14ac:dyDescent="0.25">
      <c r="B94" s="10"/>
    </row>
    <row r="95" spans="1:7" x14ac:dyDescent="0.2">
      <c r="B95" s="21" t="s">
        <v>95</v>
      </c>
      <c r="C95" s="32"/>
      <c r="D95" s="33"/>
      <c r="E95" s="33"/>
      <c r="F95" s="6">
        <v>42468820.18</v>
      </c>
    </row>
    <row r="96" spans="1:7" x14ac:dyDescent="0.2">
      <c r="B96" s="21" t="s">
        <v>96</v>
      </c>
      <c r="C96" s="32"/>
      <c r="D96" s="33"/>
      <c r="E96" s="33"/>
      <c r="F96" s="6">
        <v>3857696.65</v>
      </c>
    </row>
    <row r="97" spans="2:7" x14ac:dyDescent="0.2">
      <c r="B97" s="21" t="s">
        <v>101</v>
      </c>
      <c r="C97" s="32"/>
      <c r="D97" s="33"/>
      <c r="E97" s="33"/>
      <c r="F97" s="6">
        <v>2755696.19</v>
      </c>
    </row>
    <row r="98" spans="2:7" x14ac:dyDescent="0.2">
      <c r="B98" s="21" t="s">
        <v>175</v>
      </c>
      <c r="C98" s="32"/>
      <c r="D98" s="33"/>
      <c r="E98" s="33"/>
      <c r="F98" s="6">
        <v>24932.27</v>
      </c>
    </row>
    <row r="99" spans="2:7" x14ac:dyDescent="0.2">
      <c r="B99" s="21" t="s">
        <v>203</v>
      </c>
      <c r="C99" s="32"/>
      <c r="D99" s="33"/>
      <c r="E99" s="33"/>
      <c r="F99" s="39">
        <v>3337166.7</v>
      </c>
    </row>
    <row r="100" spans="2:7" x14ac:dyDescent="0.2">
      <c r="B100" s="35" t="s">
        <v>41</v>
      </c>
      <c r="C100" s="32"/>
      <c r="D100" s="33"/>
      <c r="E100" s="33"/>
      <c r="F100" s="39">
        <f>SUM(F95:F99)</f>
        <v>52444311.990000002</v>
      </c>
      <c r="G100" s="62">
        <f>+F100/F93</f>
        <v>5.0685142654967319E-2</v>
      </c>
    </row>
    <row r="101" spans="2:7" ht="15.75" x14ac:dyDescent="0.25">
      <c r="B101" s="10"/>
    </row>
    <row r="102" spans="2:7" x14ac:dyDescent="0.2">
      <c r="B102" s="21" t="s">
        <v>159</v>
      </c>
      <c r="C102" s="32"/>
      <c r="D102" s="33"/>
      <c r="E102" s="33"/>
      <c r="F102" s="36">
        <f>1476860.84+1433.91+1284.97+1404.1</f>
        <v>1480983.82</v>
      </c>
    </row>
    <row r="103" spans="2:7" x14ac:dyDescent="0.2">
      <c r="B103" s="21" t="s">
        <v>142</v>
      </c>
      <c r="C103" s="32"/>
      <c r="D103" s="33"/>
      <c r="E103" s="33"/>
      <c r="F103" s="36">
        <f>17369.41+1655.43</f>
        <v>19024.84</v>
      </c>
    </row>
    <row r="104" spans="2:7" x14ac:dyDescent="0.2">
      <c r="B104" s="21" t="s">
        <v>168</v>
      </c>
      <c r="C104" s="32"/>
      <c r="D104" s="33"/>
      <c r="E104" s="33"/>
      <c r="F104" s="36">
        <f>945185.16-85589.52+4188.11+1737.61</f>
        <v>865521.36</v>
      </c>
    </row>
    <row r="105" spans="2:7" x14ac:dyDescent="0.2">
      <c r="B105" s="21" t="s">
        <v>154</v>
      </c>
      <c r="C105" s="32"/>
      <c r="D105" s="33"/>
      <c r="E105" s="33"/>
      <c r="F105" s="36">
        <f>4221121.69+12423.05</f>
        <v>4233544.74</v>
      </c>
    </row>
    <row r="106" spans="2:7" x14ac:dyDescent="0.2">
      <c r="B106" s="21" t="s">
        <v>153</v>
      </c>
      <c r="C106" s="32"/>
      <c r="D106" s="33"/>
      <c r="E106" s="33"/>
      <c r="F106" s="36">
        <f>19892.77+15709.29</f>
        <v>35602.06</v>
      </c>
    </row>
    <row r="107" spans="2:7" x14ac:dyDescent="0.2">
      <c r="B107" s="21" t="s">
        <v>163</v>
      </c>
      <c r="C107" s="32"/>
      <c r="D107" s="33"/>
      <c r="E107" s="33"/>
      <c r="F107" s="36">
        <f>18586.04+1701.48</f>
        <v>20287.52</v>
      </c>
    </row>
    <row r="108" spans="2:7" x14ac:dyDescent="0.2">
      <c r="B108" s="21" t="s">
        <v>204</v>
      </c>
      <c r="C108" s="32"/>
      <c r="D108" s="33"/>
      <c r="E108" s="33"/>
      <c r="F108" s="36">
        <v>3982.57</v>
      </c>
    </row>
    <row r="109" spans="2:7" x14ac:dyDescent="0.2">
      <c r="B109" s="21" t="s">
        <v>177</v>
      </c>
      <c r="C109" s="32"/>
      <c r="D109" s="33"/>
      <c r="E109" s="33"/>
      <c r="F109" s="36">
        <v>11567.12</v>
      </c>
    </row>
    <row r="110" spans="2:7" x14ac:dyDescent="0.2">
      <c r="B110" s="21" t="s">
        <v>205</v>
      </c>
      <c r="C110" s="32"/>
      <c r="D110" s="33"/>
      <c r="E110" s="33"/>
      <c r="F110" s="36">
        <v>155.91</v>
      </c>
    </row>
    <row r="111" spans="2:7" x14ac:dyDescent="0.2">
      <c r="B111" s="21" t="s">
        <v>206</v>
      </c>
      <c r="C111" s="32"/>
      <c r="D111" s="33"/>
      <c r="E111" s="33"/>
      <c r="F111" s="40">
        <v>608.27</v>
      </c>
    </row>
    <row r="112" spans="2:7" x14ac:dyDescent="0.2">
      <c r="B112" s="1" t="s">
        <v>53</v>
      </c>
      <c r="C112" s="32"/>
      <c r="D112" s="33"/>
      <c r="E112" s="33"/>
      <c r="F112" s="40">
        <f>SUM(F102:F111)</f>
        <v>6671278.209999999</v>
      </c>
      <c r="G112" s="62">
        <f>+F112/F93</f>
        <v>6.447499737041072E-3</v>
      </c>
    </row>
    <row r="113" spans="2:7" ht="15.75" x14ac:dyDescent="0.25">
      <c r="B113" s="10"/>
    </row>
    <row r="114" spans="2:7" ht="16.5" thickBot="1" x14ac:dyDescent="0.3">
      <c r="B114" s="44" t="s">
        <v>36</v>
      </c>
      <c r="C114" s="48"/>
      <c r="D114" s="49"/>
      <c r="E114" s="49"/>
      <c r="F114" s="50">
        <f>+F93-F100-F112</f>
        <v>975592200.74000001</v>
      </c>
      <c r="G114" s="63">
        <f>+F114/F93</f>
        <v>0.94286735760799156</v>
      </c>
    </row>
    <row r="115" spans="2:7" ht="15.75" x14ac:dyDescent="0.25">
      <c r="B115" s="37"/>
      <c r="C115" s="32"/>
      <c r="D115" s="33"/>
      <c r="E115" s="33"/>
      <c r="F115" s="38"/>
      <c r="G115" s="70"/>
    </row>
  </sheetData>
  <phoneticPr fontId="0" type="noConversion"/>
  <pageMargins left="0.5" right="0.25" top="0.5" bottom="0.5" header="0.5" footer="0"/>
  <pageSetup scale="84" orientation="portrait" r:id="rId1"/>
  <headerFooter alignWithMargins="0">
    <oddFooter>&amp;LCertification September 28,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21"/>
  <sheetViews>
    <sheetView zoomScaleNormal="100" workbookViewId="0">
      <selection activeCell="I22" sqref="I22"/>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105</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200</v>
      </c>
      <c r="C8" s="86">
        <v>36951</v>
      </c>
      <c r="D8" s="14"/>
      <c r="E8" s="14"/>
      <c r="F8" s="30">
        <v>844949314.49000001</v>
      </c>
      <c r="G8" s="20">
        <f>+F8/F$8</f>
        <v>1</v>
      </c>
    </row>
    <row r="9" spans="1:7" s="1" customFormat="1" ht="13.5" thickTop="1" x14ac:dyDescent="0.2">
      <c r="A9" s="11"/>
      <c r="C9" s="75"/>
      <c r="D9" s="14"/>
      <c r="E9" s="14"/>
      <c r="F9" s="65"/>
      <c r="G9" s="58"/>
    </row>
    <row r="10" spans="1:7" s="1" customFormat="1" x14ac:dyDescent="0.2">
      <c r="A10" s="11"/>
      <c r="C10" s="75"/>
      <c r="D10" s="14"/>
      <c r="E10" s="14"/>
      <c r="F10" s="65"/>
      <c r="G10" s="58"/>
    </row>
    <row r="11" spans="1:7" ht="15.75" x14ac:dyDescent="0.25">
      <c r="A11" s="10" t="s">
        <v>48</v>
      </c>
      <c r="C11" s="77"/>
    </row>
    <row r="12" spans="1:7" ht="16.5" thickBot="1" x14ac:dyDescent="0.3">
      <c r="A12" s="10" t="s">
        <v>115</v>
      </c>
      <c r="C12" s="77"/>
    </row>
    <row r="13" spans="1:7" s="5" customFormat="1" ht="35.25" thickTop="1" thickBot="1" x14ac:dyDescent="0.25">
      <c r="A13" s="15" t="s">
        <v>11</v>
      </c>
      <c r="B13" s="15" t="s">
        <v>13</v>
      </c>
      <c r="C13" s="78" t="s">
        <v>12</v>
      </c>
      <c r="D13" s="15" t="s">
        <v>17</v>
      </c>
      <c r="E13" s="15" t="s">
        <v>15</v>
      </c>
      <c r="F13" s="16" t="s">
        <v>10</v>
      </c>
      <c r="G13" s="16" t="s">
        <v>55</v>
      </c>
    </row>
    <row r="14" spans="1:7" ht="13.5" thickTop="1" x14ac:dyDescent="0.2">
      <c r="C14" s="77"/>
    </row>
    <row r="15" spans="1:7" x14ac:dyDescent="0.2">
      <c r="A15" s="24">
        <v>1924</v>
      </c>
      <c r="B15" s="23" t="s">
        <v>83</v>
      </c>
      <c r="C15" s="69">
        <v>37035</v>
      </c>
      <c r="D15" s="31">
        <v>15176</v>
      </c>
      <c r="E15" s="24" t="s">
        <v>77</v>
      </c>
      <c r="F15" s="27">
        <v>1891.9</v>
      </c>
      <c r="G15" s="28">
        <f t="shared" ref="G15:G53" si="0">+F15/$F$55</f>
        <v>2.2870575073020212E-6</v>
      </c>
    </row>
    <row r="16" spans="1:7" x14ac:dyDescent="0.2">
      <c r="A16" s="24">
        <v>1007</v>
      </c>
      <c r="B16" s="23" t="s">
        <v>58</v>
      </c>
      <c r="C16" s="69">
        <v>37035</v>
      </c>
      <c r="D16" s="31">
        <v>15204</v>
      </c>
      <c r="E16" s="24" t="s">
        <v>77</v>
      </c>
      <c r="F16" s="29">
        <v>5887.54</v>
      </c>
      <c r="G16" s="28">
        <f t="shared" si="0"/>
        <v>7.1172591344896348E-6</v>
      </c>
    </row>
    <row r="17" spans="1:7" x14ac:dyDescent="0.2">
      <c r="A17" s="24">
        <v>1007</v>
      </c>
      <c r="B17" s="23" t="s">
        <v>58</v>
      </c>
      <c r="C17" s="69">
        <v>37054</v>
      </c>
      <c r="D17" s="31">
        <v>15404</v>
      </c>
      <c r="E17" s="24" t="s">
        <v>77</v>
      </c>
      <c r="F17" s="29">
        <v>8.3000000000000007</v>
      </c>
      <c r="G17" s="28">
        <f t="shared" si="0"/>
        <v>1.00336050058707E-8</v>
      </c>
    </row>
    <row r="18" spans="1:7" x14ac:dyDescent="0.2">
      <c r="A18" s="24">
        <v>2606</v>
      </c>
      <c r="B18" s="23" t="s">
        <v>0</v>
      </c>
      <c r="C18" s="69">
        <v>37035</v>
      </c>
      <c r="D18" s="31">
        <v>15168</v>
      </c>
      <c r="E18" s="24" t="s">
        <v>77</v>
      </c>
      <c r="F18" s="29">
        <v>312789</v>
      </c>
      <c r="G18" s="28">
        <f t="shared" si="0"/>
        <v>3.7812063568449275E-4</v>
      </c>
    </row>
    <row r="19" spans="1:7" x14ac:dyDescent="0.2">
      <c r="A19" s="24">
        <v>2606</v>
      </c>
      <c r="B19" s="23" t="s">
        <v>0</v>
      </c>
      <c r="C19" s="69">
        <v>37054</v>
      </c>
      <c r="D19" s="31">
        <v>15368</v>
      </c>
      <c r="E19" s="24" t="s">
        <v>77</v>
      </c>
      <c r="F19" s="29">
        <v>388.95</v>
      </c>
      <c r="G19" s="28">
        <f t="shared" si="0"/>
        <v>4.7018923699197684E-7</v>
      </c>
    </row>
    <row r="20" spans="1:7" x14ac:dyDescent="0.2">
      <c r="A20" s="24">
        <v>1544</v>
      </c>
      <c r="B20" s="23" t="s">
        <v>4</v>
      </c>
      <c r="C20" s="69">
        <v>37035</v>
      </c>
      <c r="D20" s="31">
        <v>15180</v>
      </c>
      <c r="E20" s="24" t="s">
        <v>77</v>
      </c>
      <c r="F20" s="29">
        <v>185906.31</v>
      </c>
      <c r="G20" s="28">
        <f t="shared" si="0"/>
        <v>2.2473620272758432E-4</v>
      </c>
    </row>
    <row r="21" spans="1:7" x14ac:dyDescent="0.2">
      <c r="A21" s="24">
        <v>1544</v>
      </c>
      <c r="B21" s="23" t="s">
        <v>4</v>
      </c>
      <c r="C21" s="69">
        <v>37054</v>
      </c>
      <c r="D21" s="31">
        <v>15380</v>
      </c>
      <c r="E21" s="24" t="s">
        <v>77</v>
      </c>
      <c r="F21" s="29">
        <v>84.7</v>
      </c>
      <c r="G21" s="28">
        <f t="shared" si="0"/>
        <v>1.0239112578280098E-7</v>
      </c>
    </row>
    <row r="22" spans="1:7" x14ac:dyDescent="0.2">
      <c r="A22" s="24">
        <v>3106</v>
      </c>
      <c r="B22" s="23" t="s">
        <v>185</v>
      </c>
      <c r="C22" s="69">
        <v>37005</v>
      </c>
      <c r="D22" s="31">
        <v>15161</v>
      </c>
      <c r="E22" s="24" t="s">
        <v>77</v>
      </c>
      <c r="F22" s="29">
        <v>7053774.1900000004</v>
      </c>
      <c r="G22" s="28">
        <f t="shared" si="0"/>
        <v>8.5270824124175342E-3</v>
      </c>
    </row>
    <row r="23" spans="1:7" x14ac:dyDescent="0.2">
      <c r="A23" s="24">
        <v>3106</v>
      </c>
      <c r="B23" s="23" t="s">
        <v>185</v>
      </c>
      <c r="C23" s="69">
        <v>37054</v>
      </c>
      <c r="D23" s="31">
        <v>15361</v>
      </c>
      <c r="E23" s="24" t="s">
        <v>77</v>
      </c>
      <c r="F23" s="29">
        <v>23950.720000000001</v>
      </c>
      <c r="G23" s="28">
        <f t="shared" si="0"/>
        <v>2.8953260733278008E-5</v>
      </c>
    </row>
    <row r="24" spans="1:7" x14ac:dyDescent="0.2">
      <c r="A24" s="24">
        <v>1011</v>
      </c>
      <c r="B24" s="23" t="s">
        <v>185</v>
      </c>
      <c r="C24" s="69">
        <v>37035</v>
      </c>
      <c r="D24" s="31">
        <v>15201</v>
      </c>
      <c r="E24" s="24" t="s">
        <v>77</v>
      </c>
      <c r="F24" s="29">
        <v>732545.14</v>
      </c>
      <c r="G24" s="28">
        <f t="shared" si="0"/>
        <v>8.8555043177472907E-4</v>
      </c>
    </row>
    <row r="25" spans="1:7" x14ac:dyDescent="0.2">
      <c r="A25" s="24">
        <v>1011</v>
      </c>
      <c r="B25" s="23" t="s">
        <v>185</v>
      </c>
      <c r="C25" s="69">
        <v>37054</v>
      </c>
      <c r="D25" s="31">
        <v>15401</v>
      </c>
      <c r="E25" s="24" t="s">
        <v>77</v>
      </c>
      <c r="F25" s="29">
        <v>3838.57</v>
      </c>
      <c r="G25" s="28">
        <f t="shared" si="0"/>
        <v>4.6403247189620587E-6</v>
      </c>
    </row>
    <row r="26" spans="1:7" x14ac:dyDescent="0.2">
      <c r="A26" s="24">
        <v>2528</v>
      </c>
      <c r="B26" s="23" t="s">
        <v>76</v>
      </c>
      <c r="C26" s="69">
        <v>37035</v>
      </c>
      <c r="D26" s="31">
        <v>15170</v>
      </c>
      <c r="E26" s="24" t="s">
        <v>77</v>
      </c>
      <c r="F26" s="29">
        <v>199000.28</v>
      </c>
      <c r="G26" s="28">
        <f t="shared" si="0"/>
        <v>2.4056508500935791E-4</v>
      </c>
    </row>
    <row r="27" spans="1:7" x14ac:dyDescent="0.2">
      <c r="A27" s="24">
        <v>1010</v>
      </c>
      <c r="B27" s="23" t="s">
        <v>61</v>
      </c>
      <c r="C27" s="69">
        <v>37035</v>
      </c>
      <c r="D27" s="31">
        <v>15202</v>
      </c>
      <c r="E27" s="24" t="s">
        <v>77</v>
      </c>
      <c r="F27" s="29">
        <v>3586669.37</v>
      </c>
      <c r="G27" s="28">
        <f t="shared" si="0"/>
        <v>4.3358100897873623E-3</v>
      </c>
    </row>
    <row r="28" spans="1:7" x14ac:dyDescent="0.2">
      <c r="A28" s="24">
        <v>1010</v>
      </c>
      <c r="B28" s="23" t="s">
        <v>61</v>
      </c>
      <c r="C28" s="69">
        <v>37054</v>
      </c>
      <c r="D28" s="31">
        <v>15402</v>
      </c>
      <c r="E28" s="24" t="s">
        <v>77</v>
      </c>
      <c r="F28" s="29">
        <v>53768.11</v>
      </c>
      <c r="G28" s="28">
        <f t="shared" si="0"/>
        <v>6.4998551524362208E-5</v>
      </c>
    </row>
    <row r="29" spans="1:7" x14ac:dyDescent="0.2">
      <c r="A29" s="24">
        <v>1924</v>
      </c>
      <c r="B29" s="23" t="s">
        <v>57</v>
      </c>
      <c r="C29" s="69">
        <v>37035</v>
      </c>
      <c r="D29" s="31">
        <v>15241</v>
      </c>
      <c r="E29" s="24" t="s">
        <v>16</v>
      </c>
      <c r="F29" s="29">
        <v>159815.43</v>
      </c>
      <c r="G29" s="28">
        <f t="shared" si="0"/>
        <v>1.9319577089920218E-4</v>
      </c>
    </row>
    <row r="30" spans="1:7" x14ac:dyDescent="0.2">
      <c r="A30" s="24">
        <v>1924</v>
      </c>
      <c r="B30" s="23" t="s">
        <v>57</v>
      </c>
      <c r="C30" s="69">
        <v>37054</v>
      </c>
      <c r="D30" s="31">
        <v>15442</v>
      </c>
      <c r="E30" s="24" t="s">
        <v>16</v>
      </c>
      <c r="F30" s="29">
        <v>24618.66</v>
      </c>
      <c r="G30" s="28">
        <f t="shared" si="0"/>
        <v>2.9760712073955267E-5</v>
      </c>
    </row>
    <row r="31" spans="1:7" x14ac:dyDescent="0.2">
      <c r="A31" s="24">
        <v>1007</v>
      </c>
      <c r="B31" s="23" t="s">
        <v>58</v>
      </c>
      <c r="C31" s="69">
        <v>37035</v>
      </c>
      <c r="D31" s="31">
        <v>15276</v>
      </c>
      <c r="E31" s="24" t="s">
        <v>16</v>
      </c>
      <c r="F31" s="29">
        <v>10566.4</v>
      </c>
      <c r="G31" s="28">
        <f t="shared" si="0"/>
        <v>1.2773383606509897E-5</v>
      </c>
    </row>
    <row r="32" spans="1:7" x14ac:dyDescent="0.2">
      <c r="A32" s="24">
        <v>1007</v>
      </c>
      <c r="B32" s="23" t="s">
        <v>58</v>
      </c>
      <c r="C32" s="69">
        <v>37054</v>
      </c>
      <c r="D32" s="31">
        <v>15477</v>
      </c>
      <c r="E32" s="24" t="s">
        <v>16</v>
      </c>
      <c r="F32" s="29">
        <v>35686.06</v>
      </c>
      <c r="G32" s="28">
        <f t="shared" si="0"/>
        <v>4.3139738585036394E-5</v>
      </c>
    </row>
    <row r="33" spans="1:7" x14ac:dyDescent="0.2">
      <c r="A33" s="24">
        <v>2606</v>
      </c>
      <c r="B33" s="23" t="s">
        <v>0</v>
      </c>
      <c r="C33" s="69">
        <v>37035</v>
      </c>
      <c r="D33" s="31">
        <v>15228</v>
      </c>
      <c r="E33" s="24" t="s">
        <v>16</v>
      </c>
      <c r="F33" s="29">
        <v>3859521.81</v>
      </c>
      <c r="G33" s="28">
        <f t="shared" si="0"/>
        <v>4.665652693142547E-3</v>
      </c>
    </row>
    <row r="34" spans="1:7" x14ac:dyDescent="0.2">
      <c r="A34" s="24">
        <v>2606</v>
      </c>
      <c r="B34" s="23" t="s">
        <v>0</v>
      </c>
      <c r="C34" s="69">
        <v>37054</v>
      </c>
      <c r="D34" s="31">
        <v>15429</v>
      </c>
      <c r="E34" s="24" t="s">
        <v>16</v>
      </c>
      <c r="F34" s="29">
        <v>2887840.08</v>
      </c>
      <c r="G34" s="28">
        <f t="shared" si="0"/>
        <v>3.491017672631571E-3</v>
      </c>
    </row>
    <row r="35" spans="1:7" x14ac:dyDescent="0.2">
      <c r="A35" s="24">
        <v>1584</v>
      </c>
      <c r="B35" s="23" t="s">
        <v>1</v>
      </c>
      <c r="C35" s="69">
        <v>37054</v>
      </c>
      <c r="D35" s="31">
        <v>15447</v>
      </c>
      <c r="E35" s="24" t="s">
        <v>16</v>
      </c>
      <c r="F35" s="29">
        <v>206636.42</v>
      </c>
      <c r="G35" s="28">
        <f t="shared" si="0"/>
        <v>2.4979617085628918E-4</v>
      </c>
    </row>
    <row r="36" spans="1:7" x14ac:dyDescent="0.2">
      <c r="A36" s="24">
        <v>1684</v>
      </c>
      <c r="B36" s="23" t="s">
        <v>92</v>
      </c>
      <c r="C36" s="69">
        <v>37054</v>
      </c>
      <c r="D36" s="31">
        <v>15444</v>
      </c>
      <c r="E36" s="24" t="s">
        <v>16</v>
      </c>
      <c r="F36" s="29">
        <v>228.65</v>
      </c>
      <c r="G36" s="28">
        <f t="shared" si="0"/>
        <v>2.764076848906428E-7</v>
      </c>
    </row>
    <row r="37" spans="1:7" x14ac:dyDescent="0.2">
      <c r="A37" s="24">
        <v>1504</v>
      </c>
      <c r="B37" s="23" t="s">
        <v>2</v>
      </c>
      <c r="C37" s="69">
        <v>37035</v>
      </c>
      <c r="D37" s="31">
        <v>15248</v>
      </c>
      <c r="E37" s="24" t="s">
        <v>16</v>
      </c>
      <c r="F37" s="29">
        <v>15853.26</v>
      </c>
      <c r="G37" s="28">
        <f t="shared" si="0"/>
        <v>1.9164499866912014E-5</v>
      </c>
    </row>
    <row r="38" spans="1:7" x14ac:dyDescent="0.2">
      <c r="A38" s="24">
        <v>1504</v>
      </c>
      <c r="B38" s="23" t="s">
        <v>2</v>
      </c>
      <c r="C38" s="69">
        <v>37054</v>
      </c>
      <c r="D38" s="31">
        <v>15449</v>
      </c>
      <c r="E38" s="24" t="s">
        <v>16</v>
      </c>
      <c r="F38" s="29">
        <f>47046.31-5691.65</f>
        <v>41354.659999999996</v>
      </c>
      <c r="G38" s="28">
        <f t="shared" si="0"/>
        <v>4.9992328143624176E-5</v>
      </c>
    </row>
    <row r="39" spans="1:7" x14ac:dyDescent="0.2">
      <c r="A39" s="24">
        <v>1103</v>
      </c>
      <c r="B39" s="23" t="s">
        <v>24</v>
      </c>
      <c r="C39" s="69">
        <v>37054</v>
      </c>
      <c r="D39" s="31">
        <v>15462</v>
      </c>
      <c r="E39" s="24" t="s">
        <v>16</v>
      </c>
      <c r="F39" s="29">
        <v>384728.44</v>
      </c>
      <c r="G39" s="28">
        <f t="shared" si="0"/>
        <v>4.6508592788973787E-4</v>
      </c>
    </row>
    <row r="40" spans="1:7" x14ac:dyDescent="0.2">
      <c r="A40" s="54">
        <v>2405</v>
      </c>
      <c r="B40" s="80" t="s">
        <v>188</v>
      </c>
      <c r="C40" s="69">
        <v>37054</v>
      </c>
      <c r="D40" s="54">
        <v>15438</v>
      </c>
      <c r="E40" s="24" t="s">
        <v>16</v>
      </c>
      <c r="F40" s="29">
        <f>1742.73-368.58</f>
        <v>1374.15</v>
      </c>
      <c r="G40" s="28">
        <f t="shared" si="0"/>
        <v>1.6611660625080989E-6</v>
      </c>
    </row>
    <row r="41" spans="1:7" x14ac:dyDescent="0.2">
      <c r="A41" s="54">
        <v>1017</v>
      </c>
      <c r="B41" s="80" t="s">
        <v>108</v>
      </c>
      <c r="C41" s="69">
        <v>37035</v>
      </c>
      <c r="D41" s="54">
        <v>15269</v>
      </c>
      <c r="E41" s="24" t="s">
        <v>16</v>
      </c>
      <c r="F41" s="81">
        <v>1570197.56</v>
      </c>
      <c r="G41" s="84">
        <f t="shared" si="0"/>
        <v>1.8981616985809587E-3</v>
      </c>
    </row>
    <row r="42" spans="1:7" x14ac:dyDescent="0.2">
      <c r="A42" s="54">
        <v>1000</v>
      </c>
      <c r="B42" s="80" t="s">
        <v>109</v>
      </c>
      <c r="C42" s="69">
        <v>37035</v>
      </c>
      <c r="D42" s="54">
        <v>15283</v>
      </c>
      <c r="E42" s="24" t="s">
        <v>16</v>
      </c>
      <c r="F42" s="81">
        <v>41.41</v>
      </c>
      <c r="G42" s="84">
        <f t="shared" si="0"/>
        <v>5.0059226902783807E-8</v>
      </c>
    </row>
    <row r="43" spans="1:7" x14ac:dyDescent="0.2">
      <c r="A43" s="24">
        <v>1544</v>
      </c>
      <c r="B43" s="23" t="s">
        <v>4</v>
      </c>
      <c r="C43" s="69">
        <v>37035</v>
      </c>
      <c r="D43" s="54">
        <v>15245</v>
      </c>
      <c r="E43" s="24" t="s">
        <v>16</v>
      </c>
      <c r="F43" s="29">
        <v>9664579.0999999996</v>
      </c>
      <c r="G43" s="28">
        <f t="shared" si="0"/>
        <v>1.1683201112938954E-2</v>
      </c>
    </row>
    <row r="44" spans="1:7" x14ac:dyDescent="0.2">
      <c r="A44" s="24">
        <v>1544</v>
      </c>
      <c r="B44" s="23" t="s">
        <v>4</v>
      </c>
      <c r="C44" s="69">
        <v>37054</v>
      </c>
      <c r="D44" s="54">
        <v>15446</v>
      </c>
      <c r="E44" s="24" t="s">
        <v>16</v>
      </c>
      <c r="F44" s="29">
        <v>1378767.61</v>
      </c>
      <c r="G44" s="28">
        <f t="shared" si="0"/>
        <v>1.6667481438106481E-3</v>
      </c>
    </row>
    <row r="45" spans="1:7" x14ac:dyDescent="0.2">
      <c r="A45" s="24">
        <v>1005</v>
      </c>
      <c r="B45" s="23" t="s">
        <v>110</v>
      </c>
      <c r="C45" s="69">
        <v>37035</v>
      </c>
      <c r="D45" s="54">
        <v>15278</v>
      </c>
      <c r="E45" s="24" t="s">
        <v>16</v>
      </c>
      <c r="F45" s="29">
        <v>21206.94</v>
      </c>
      <c r="G45" s="28">
        <f t="shared" si="0"/>
        <v>2.5636392691951751E-5</v>
      </c>
    </row>
    <row r="46" spans="1:7" x14ac:dyDescent="0.2">
      <c r="A46" s="24">
        <v>3106</v>
      </c>
      <c r="B46" s="23" t="s">
        <v>185</v>
      </c>
      <c r="C46" s="69">
        <v>37035</v>
      </c>
      <c r="D46" s="54">
        <v>15212</v>
      </c>
      <c r="E46" s="24" t="s">
        <v>16</v>
      </c>
      <c r="F46" s="29">
        <v>250061586.25</v>
      </c>
      <c r="G46" s="28">
        <f t="shared" si="0"/>
        <v>0.30229146790047801</v>
      </c>
    </row>
    <row r="47" spans="1:7" x14ac:dyDescent="0.2">
      <c r="A47" s="24">
        <v>3106</v>
      </c>
      <c r="B47" s="23" t="s">
        <v>185</v>
      </c>
      <c r="C47" s="69">
        <v>37054</v>
      </c>
      <c r="D47" s="54">
        <v>15413</v>
      </c>
      <c r="E47" s="24" t="s">
        <v>16</v>
      </c>
      <c r="F47" s="29">
        <v>26829644.829999998</v>
      </c>
      <c r="G47" s="28">
        <f t="shared" si="0"/>
        <v>3.2433501044821796E-2</v>
      </c>
    </row>
    <row r="48" spans="1:7" x14ac:dyDescent="0.2">
      <c r="A48" s="24">
        <v>1011</v>
      </c>
      <c r="B48" s="23" t="s">
        <v>185</v>
      </c>
      <c r="C48" s="69">
        <v>37035</v>
      </c>
      <c r="D48" s="54">
        <v>15273</v>
      </c>
      <c r="E48" s="24" t="s">
        <v>16</v>
      </c>
      <c r="F48" s="29">
        <v>11636159.73</v>
      </c>
      <c r="G48" s="28">
        <f t="shared" si="0"/>
        <v>1.4066581989884221E-2</v>
      </c>
    </row>
    <row r="49" spans="1:7" x14ac:dyDescent="0.2">
      <c r="A49" s="24">
        <v>1011</v>
      </c>
      <c r="B49" s="23" t="s">
        <v>185</v>
      </c>
      <c r="C49" s="69">
        <v>37054</v>
      </c>
      <c r="D49" s="54">
        <v>15474</v>
      </c>
      <c r="E49" s="24" t="s">
        <v>16</v>
      </c>
      <c r="F49" s="29">
        <v>1220018.43</v>
      </c>
      <c r="G49" s="28">
        <f t="shared" si="0"/>
        <v>1.4748413284942782E-3</v>
      </c>
    </row>
    <row r="50" spans="1:7" x14ac:dyDescent="0.2">
      <c r="A50" s="24">
        <v>2528</v>
      </c>
      <c r="B50" s="23" t="s">
        <v>76</v>
      </c>
      <c r="C50" s="69">
        <v>37035</v>
      </c>
      <c r="D50" s="54">
        <v>15232</v>
      </c>
      <c r="E50" s="24" t="s">
        <v>16</v>
      </c>
      <c r="F50" s="29">
        <v>2359.04</v>
      </c>
      <c r="G50" s="28">
        <f t="shared" si="0"/>
        <v>2.8517681389215915E-6</v>
      </c>
    </row>
    <row r="51" spans="1:7" x14ac:dyDescent="0.2">
      <c r="A51" s="24">
        <v>1010</v>
      </c>
      <c r="B51" s="23" t="s">
        <v>61</v>
      </c>
      <c r="C51" s="69">
        <v>37035</v>
      </c>
      <c r="D51" s="54">
        <v>15274</v>
      </c>
      <c r="E51" s="24" t="s">
        <v>16</v>
      </c>
      <c r="F51" s="29">
        <v>416053783.75</v>
      </c>
      <c r="G51" s="28">
        <f t="shared" si="0"/>
        <v>0.50295413582475246</v>
      </c>
    </row>
    <row r="52" spans="1:7" s="21" customFormat="1" x14ac:dyDescent="0.2">
      <c r="A52" s="24">
        <v>1010</v>
      </c>
      <c r="B52" s="23" t="s">
        <v>61</v>
      </c>
      <c r="C52" s="69">
        <v>37054</v>
      </c>
      <c r="D52" s="54">
        <v>15475</v>
      </c>
      <c r="E52" s="24" t="s">
        <v>16</v>
      </c>
      <c r="F52" s="29">
        <v>88939559.700000003</v>
      </c>
      <c r="G52" s="28">
        <f t="shared" si="0"/>
        <v>0.10751619414769348</v>
      </c>
    </row>
    <row r="53" spans="1:7" x14ac:dyDescent="0.2">
      <c r="A53" s="24">
        <v>2465</v>
      </c>
      <c r="B53" s="23" t="s">
        <v>25</v>
      </c>
      <c r="C53" s="69">
        <v>37054</v>
      </c>
      <c r="D53" s="54">
        <v>15436</v>
      </c>
      <c r="E53" s="24" t="s">
        <v>16</v>
      </c>
      <c r="F53" s="55">
        <v>53494.83</v>
      </c>
      <c r="G53" s="56">
        <f t="shared" si="0"/>
        <v>6.4668192057373733E-5</v>
      </c>
    </row>
    <row r="54" spans="1:7" x14ac:dyDescent="0.2">
      <c r="A54" s="7"/>
      <c r="B54" s="2"/>
      <c r="C54" s="9"/>
      <c r="D54" s="7"/>
      <c r="E54" s="13"/>
      <c r="F54" s="6"/>
      <c r="G54" s="21"/>
    </row>
    <row r="55" spans="1:7" ht="13.5" thickBot="1" x14ac:dyDescent="0.25">
      <c r="B55" s="1" t="s">
        <v>18</v>
      </c>
      <c r="F55" s="30">
        <f>SUM(F15:F54)</f>
        <v>827220126.28000009</v>
      </c>
      <c r="G55" s="20">
        <f>+F55/F55</f>
        <v>1</v>
      </c>
    </row>
    <row r="56" spans="1:7" ht="13.5" thickTop="1" x14ac:dyDescent="0.2">
      <c r="C56" s="77"/>
    </row>
    <row r="57" spans="1:7" x14ac:dyDescent="0.2">
      <c r="C57" s="77"/>
    </row>
    <row r="58" spans="1:7" x14ac:dyDescent="0.2">
      <c r="B58" s="82" t="s">
        <v>184</v>
      </c>
      <c r="C58" s="77"/>
    </row>
    <row r="59" spans="1:7" x14ac:dyDescent="0.2">
      <c r="B59" s="82"/>
      <c r="C59" s="77"/>
    </row>
    <row r="60" spans="1:7" ht="15.75" x14ac:dyDescent="0.25">
      <c r="B60" s="10" t="str">
        <f>+B1</f>
        <v>Certification for Market Settlement September 28, 2001</v>
      </c>
    </row>
    <row r="61" spans="1:7" ht="15.75" x14ac:dyDescent="0.25">
      <c r="B61" s="10"/>
    </row>
    <row r="62" spans="1:7" ht="15.75" x14ac:dyDescent="0.25">
      <c r="B62" s="10" t="str">
        <f>+B3</f>
        <v>For the Trade Month of March 2001</v>
      </c>
    </row>
    <row r="63" spans="1:7" ht="15.75" x14ac:dyDescent="0.25">
      <c r="B63" s="10"/>
    </row>
    <row r="64" spans="1:7" ht="15.75" x14ac:dyDescent="0.25">
      <c r="B64" s="10" t="s">
        <v>27</v>
      </c>
    </row>
    <row r="65" spans="1:7" ht="15.75" x14ac:dyDescent="0.25">
      <c r="B65" s="10"/>
    </row>
    <row r="66" spans="1:7" x14ac:dyDescent="0.2">
      <c r="B66" s="21" t="s">
        <v>26</v>
      </c>
      <c r="C66" s="32"/>
      <c r="D66" s="33"/>
      <c r="E66" s="33"/>
      <c r="F66" s="34">
        <v>832494154.59000003</v>
      </c>
      <c r="G66" s="61">
        <f>+F66/F68</f>
        <v>0.85391062514161531</v>
      </c>
    </row>
    <row r="67" spans="1:7" x14ac:dyDescent="0.2">
      <c r="B67" s="21" t="s">
        <v>28</v>
      </c>
      <c r="C67" s="32"/>
      <c r="D67" s="33"/>
      <c r="E67" s="33"/>
      <c r="F67" s="39">
        <v>142425386.25999999</v>
      </c>
      <c r="G67" s="61">
        <f>+F67/F68</f>
        <v>0.14608937485838475</v>
      </c>
    </row>
    <row r="68" spans="1:7" x14ac:dyDescent="0.2">
      <c r="B68" s="35" t="s">
        <v>29</v>
      </c>
      <c r="C68" s="32"/>
      <c r="D68" s="33"/>
      <c r="E68" s="33"/>
      <c r="F68" s="39">
        <f>SUM(F66:F67)</f>
        <v>974919540.85000002</v>
      </c>
      <c r="G68" s="62">
        <f>+F68/F68</f>
        <v>1</v>
      </c>
    </row>
    <row r="69" spans="1:7" ht="15.75" x14ac:dyDescent="0.25">
      <c r="B69" s="10"/>
    </row>
    <row r="70" spans="1:7" x14ac:dyDescent="0.2">
      <c r="B70" s="21" t="s">
        <v>103</v>
      </c>
      <c r="C70" s="32"/>
      <c r="D70" s="33"/>
      <c r="E70" s="33"/>
      <c r="F70" s="6">
        <v>25834711.77</v>
      </c>
    </row>
    <row r="71" spans="1:7" x14ac:dyDescent="0.2">
      <c r="B71" s="21" t="s">
        <v>107</v>
      </c>
      <c r="C71" s="32"/>
      <c r="D71" s="33"/>
      <c r="E71" s="33"/>
      <c r="F71" s="6">
        <v>42129119.369999997</v>
      </c>
    </row>
    <row r="72" spans="1:7" x14ac:dyDescent="0.2">
      <c r="B72" s="21" t="s">
        <v>114</v>
      </c>
      <c r="C72" s="32"/>
      <c r="D72" s="33"/>
      <c r="E72" s="33"/>
      <c r="F72" s="39">
        <f>43601.78+23970.6</f>
        <v>67572.38</v>
      </c>
    </row>
    <row r="73" spans="1:7" x14ac:dyDescent="0.2">
      <c r="B73" s="35" t="s">
        <v>33</v>
      </c>
      <c r="C73" s="32"/>
      <c r="D73" s="33"/>
      <c r="E73" s="33"/>
      <c r="F73" s="39">
        <f>SUM(F70:F72)</f>
        <v>68031403.519999996</v>
      </c>
      <c r="G73" s="62">
        <f>+F73/F68</f>
        <v>6.9781557010013026E-2</v>
      </c>
    </row>
    <row r="74" spans="1:7" ht="15.75" x14ac:dyDescent="0.25">
      <c r="B74" s="10"/>
    </row>
    <row r="75" spans="1:7" s="21" customFormat="1" x14ac:dyDescent="0.2">
      <c r="A75" s="32"/>
      <c r="B75" s="21" t="s">
        <v>138</v>
      </c>
      <c r="C75" s="32"/>
      <c r="D75" s="33"/>
      <c r="E75" s="33"/>
      <c r="F75" s="6">
        <v>1328993.47</v>
      </c>
    </row>
    <row r="76" spans="1:7" s="21" customFormat="1" x14ac:dyDescent="0.2">
      <c r="A76" s="32"/>
      <c r="B76" s="21" t="s">
        <v>158</v>
      </c>
      <c r="C76" s="32"/>
      <c r="D76" s="33"/>
      <c r="E76" s="33"/>
      <c r="F76" s="6">
        <v>2962776.9</v>
      </c>
    </row>
    <row r="77" spans="1:7" s="21" customFormat="1" x14ac:dyDescent="0.2">
      <c r="A77" s="32"/>
      <c r="B77" s="21" t="s">
        <v>166</v>
      </c>
      <c r="C77" s="32"/>
      <c r="D77" s="33"/>
      <c r="E77" s="33"/>
      <c r="F77" s="6">
        <v>888969.27</v>
      </c>
    </row>
    <row r="78" spans="1:7" s="21" customFormat="1" x14ac:dyDescent="0.2">
      <c r="A78" s="32"/>
      <c r="B78" s="21" t="s">
        <v>169</v>
      </c>
      <c r="C78" s="32"/>
      <c r="D78" s="33"/>
      <c r="E78" s="33"/>
      <c r="F78" s="6">
        <v>6.32</v>
      </c>
    </row>
    <row r="79" spans="1:7" s="21" customFormat="1" x14ac:dyDescent="0.2">
      <c r="A79" s="32"/>
      <c r="B79" s="21" t="s">
        <v>170</v>
      </c>
      <c r="C79" s="32"/>
      <c r="D79" s="33"/>
      <c r="E79" s="33"/>
      <c r="F79" s="6">
        <v>10.33</v>
      </c>
    </row>
    <row r="80" spans="1:7" s="21" customFormat="1" x14ac:dyDescent="0.2">
      <c r="A80" s="32"/>
      <c r="B80" s="21" t="s">
        <v>152</v>
      </c>
      <c r="C80" s="32"/>
      <c r="D80" s="33"/>
      <c r="E80" s="33"/>
      <c r="F80" s="6">
        <f>19892.77+15709.29</f>
        <v>35602.06</v>
      </c>
    </row>
    <row r="81" spans="1:7" s="21" customFormat="1" x14ac:dyDescent="0.2">
      <c r="A81" s="32"/>
      <c r="B81" s="21" t="s">
        <v>146</v>
      </c>
      <c r="C81" s="32"/>
      <c r="D81" s="33"/>
      <c r="E81" s="33"/>
      <c r="F81" s="6">
        <v>83643512.489999995</v>
      </c>
    </row>
    <row r="82" spans="1:7" s="21" customFormat="1" x14ac:dyDescent="0.2">
      <c r="A82" s="32"/>
      <c r="B82" s="21" t="s">
        <v>144</v>
      </c>
      <c r="C82" s="32"/>
      <c r="D82" s="33"/>
      <c r="E82" s="33"/>
      <c r="F82" s="6">
        <v>205.19</v>
      </c>
    </row>
    <row r="83" spans="1:7" s="21" customFormat="1" x14ac:dyDescent="0.2">
      <c r="A83" s="32"/>
      <c r="B83" s="21" t="s">
        <v>199</v>
      </c>
      <c r="C83" s="32"/>
      <c r="D83" s="33"/>
      <c r="E83" s="33"/>
      <c r="F83" s="39">
        <v>2968438.1</v>
      </c>
    </row>
    <row r="84" spans="1:7" x14ac:dyDescent="0.2">
      <c r="B84" s="1" t="s">
        <v>53</v>
      </c>
      <c r="F84" s="40">
        <f>SUM(F75:F83)</f>
        <v>91828514.12999998</v>
      </c>
      <c r="G84" s="62">
        <f>+F84/F68</f>
        <v>9.4190864253205706E-2</v>
      </c>
    </row>
    <row r="85" spans="1:7" x14ac:dyDescent="0.2">
      <c r="B85" s="1"/>
      <c r="F85" s="36"/>
      <c r="G85" s="62"/>
    </row>
    <row r="86" spans="1:7" s="21" customFormat="1" x14ac:dyDescent="0.2">
      <c r="A86" s="32"/>
      <c r="B86" s="21" t="s">
        <v>113</v>
      </c>
      <c r="C86" s="32"/>
      <c r="D86" s="33"/>
      <c r="E86" s="33"/>
      <c r="F86" s="39">
        <v>12160503.08</v>
      </c>
      <c r="G86" s="62">
        <f>+F86/F68</f>
        <v>1.2473340178818921E-2</v>
      </c>
    </row>
    <row r="87" spans="1:7" ht="15.75" x14ac:dyDescent="0.25">
      <c r="B87" s="10"/>
    </row>
    <row r="88" spans="1:7" ht="16.5" thickBot="1" x14ac:dyDescent="0.3">
      <c r="B88" s="44" t="s">
        <v>35</v>
      </c>
      <c r="C88" s="48"/>
      <c r="D88" s="49"/>
      <c r="E88" s="49"/>
      <c r="F88" s="50">
        <f>+F68-F73-F84+F86</f>
        <v>827220126.28000009</v>
      </c>
      <c r="G88" s="63">
        <f>+F88/F68</f>
        <v>0.8485009189156002</v>
      </c>
    </row>
    <row r="89" spans="1:7" ht="15.75" x14ac:dyDescent="0.25">
      <c r="B89" s="37"/>
      <c r="C89" s="32"/>
      <c r="D89" s="33"/>
      <c r="E89" s="33"/>
      <c r="F89" s="38"/>
    </row>
    <row r="90" spans="1:7" ht="15.75" x14ac:dyDescent="0.25">
      <c r="B90" s="37" t="s">
        <v>34</v>
      </c>
      <c r="C90" s="32"/>
      <c r="D90" s="33"/>
      <c r="E90" s="33"/>
      <c r="F90" s="21"/>
    </row>
    <row r="91" spans="1:7" ht="15.75" x14ac:dyDescent="0.25">
      <c r="B91" s="37"/>
      <c r="C91" s="32"/>
      <c r="D91" s="33"/>
      <c r="E91" s="33"/>
      <c r="F91" s="21"/>
    </row>
    <row r="92" spans="1:7" s="21" customFormat="1" x14ac:dyDescent="0.2">
      <c r="A92" s="32"/>
      <c r="B92" s="21" t="s">
        <v>26</v>
      </c>
      <c r="C92" s="32"/>
      <c r="D92" s="33"/>
      <c r="E92" s="33"/>
      <c r="F92" s="34">
        <v>846325629.70000005</v>
      </c>
      <c r="G92" s="64">
        <f>+F92/F94</f>
        <v>0.85595425272921077</v>
      </c>
    </row>
    <row r="93" spans="1:7" x14ac:dyDescent="0.2">
      <c r="B93" s="21" t="s">
        <v>28</v>
      </c>
      <c r="C93" s="32"/>
      <c r="D93" s="33"/>
      <c r="E93" s="33"/>
      <c r="F93" s="39">
        <v>142425377.72999999</v>
      </c>
      <c r="G93" s="64">
        <f>+F93/F94</f>
        <v>0.1440457472707892</v>
      </c>
    </row>
    <row r="94" spans="1:7" x14ac:dyDescent="0.2">
      <c r="B94" s="35" t="s">
        <v>29</v>
      </c>
      <c r="C94" s="32"/>
      <c r="D94" s="33"/>
      <c r="E94" s="33"/>
      <c r="F94" s="39">
        <f>SUM(F92:F93)</f>
        <v>988751007.43000007</v>
      </c>
      <c r="G94" s="62">
        <f>+F94/F94</f>
        <v>1</v>
      </c>
    </row>
    <row r="95" spans="1:7" ht="15.75" x14ac:dyDescent="0.25">
      <c r="B95" s="10"/>
    </row>
    <row r="96" spans="1:7" x14ac:dyDescent="0.2">
      <c r="B96" s="21" t="s">
        <v>106</v>
      </c>
      <c r="C96" s="32"/>
      <c r="D96" s="33"/>
      <c r="E96" s="33"/>
      <c r="F96" s="6">
        <v>12908276.5</v>
      </c>
    </row>
    <row r="97" spans="2:7" x14ac:dyDescent="0.2">
      <c r="B97" s="21" t="s">
        <v>101</v>
      </c>
      <c r="C97" s="32"/>
      <c r="D97" s="33"/>
      <c r="E97" s="33"/>
      <c r="F97" s="6">
        <v>42048639.130000003</v>
      </c>
    </row>
    <row r="98" spans="2:7" x14ac:dyDescent="0.2">
      <c r="B98" s="21" t="s">
        <v>203</v>
      </c>
      <c r="C98" s="32"/>
      <c r="D98" s="33"/>
      <c r="E98" s="33"/>
      <c r="F98" s="39">
        <v>2968689.84</v>
      </c>
    </row>
    <row r="99" spans="2:7" x14ac:dyDescent="0.2">
      <c r="B99" s="35" t="s">
        <v>41</v>
      </c>
      <c r="C99" s="32"/>
      <c r="D99" s="33"/>
      <c r="E99" s="33"/>
      <c r="F99" s="39">
        <f>SUM(F96:F98)</f>
        <v>57925605.469999999</v>
      </c>
      <c r="G99" s="62">
        <f>+F99/F94</f>
        <v>5.8584623464063491E-2</v>
      </c>
    </row>
    <row r="100" spans="2:7" ht="15.75" x14ac:dyDescent="0.25">
      <c r="B100" s="10"/>
    </row>
    <row r="101" spans="2:7" x14ac:dyDescent="0.2">
      <c r="B101" s="21" t="s">
        <v>207</v>
      </c>
      <c r="C101" s="32"/>
      <c r="D101" s="33"/>
      <c r="E101" s="33"/>
      <c r="F101" s="36">
        <v>1292641.3899999999</v>
      </c>
    </row>
    <row r="102" spans="2:7" x14ac:dyDescent="0.2">
      <c r="B102" s="21" t="s">
        <v>159</v>
      </c>
      <c r="C102" s="32"/>
      <c r="D102" s="33"/>
      <c r="E102" s="33"/>
      <c r="F102" s="36">
        <f>6303.02+256.87</f>
        <v>6559.89</v>
      </c>
    </row>
    <row r="103" spans="2:7" x14ac:dyDescent="0.2">
      <c r="B103" s="21" t="s">
        <v>142</v>
      </c>
      <c r="C103" s="32"/>
      <c r="D103" s="33"/>
      <c r="E103" s="33"/>
      <c r="F103" s="36">
        <v>7944.92</v>
      </c>
    </row>
    <row r="104" spans="2:7" x14ac:dyDescent="0.2">
      <c r="B104" s="21" t="s">
        <v>168</v>
      </c>
      <c r="C104" s="32"/>
      <c r="D104" s="33"/>
      <c r="E104" s="33"/>
      <c r="F104" s="36">
        <f>66132.36+76</f>
        <v>66208.36</v>
      </c>
    </row>
    <row r="105" spans="2:7" x14ac:dyDescent="0.2">
      <c r="B105" s="21" t="s">
        <v>154</v>
      </c>
      <c r="C105" s="32"/>
      <c r="D105" s="33"/>
      <c r="E105" s="33"/>
      <c r="F105" s="36">
        <v>5473.52</v>
      </c>
    </row>
    <row r="106" spans="2:7" x14ac:dyDescent="0.2">
      <c r="B106" s="21" t="s">
        <v>170</v>
      </c>
      <c r="C106" s="32"/>
      <c r="D106" s="33"/>
      <c r="E106" s="33"/>
      <c r="F106" s="36">
        <v>646409.68999999994</v>
      </c>
    </row>
    <row r="107" spans="2:7" x14ac:dyDescent="0.2">
      <c r="B107" s="21" t="s">
        <v>153</v>
      </c>
      <c r="C107" s="32"/>
      <c r="D107" s="33"/>
      <c r="E107" s="33"/>
      <c r="F107" s="36">
        <v>83643512.489999995</v>
      </c>
    </row>
    <row r="108" spans="2:7" x14ac:dyDescent="0.2">
      <c r="B108" s="21" t="s">
        <v>171</v>
      </c>
      <c r="C108" s="32"/>
      <c r="D108" s="33"/>
      <c r="E108" s="33"/>
      <c r="F108" s="36">
        <v>30294.94</v>
      </c>
    </row>
    <row r="109" spans="2:7" x14ac:dyDescent="0.2">
      <c r="B109" s="21" t="s">
        <v>163</v>
      </c>
      <c r="C109" s="32"/>
      <c r="D109" s="33"/>
      <c r="E109" s="33"/>
      <c r="F109" s="36">
        <f>171309.95+4808.47</f>
        <v>176118.42</v>
      </c>
    </row>
    <row r="110" spans="2:7" x14ac:dyDescent="0.2">
      <c r="B110" s="21" t="s">
        <v>177</v>
      </c>
      <c r="C110" s="32"/>
      <c r="D110" s="33"/>
      <c r="E110" s="33"/>
      <c r="F110" s="36">
        <v>26.04</v>
      </c>
    </row>
    <row r="111" spans="2:7" x14ac:dyDescent="0.2">
      <c r="B111" s="21" t="s">
        <v>205</v>
      </c>
      <c r="C111" s="32"/>
      <c r="D111" s="33"/>
      <c r="E111" s="33"/>
      <c r="F111" s="36">
        <v>51.95</v>
      </c>
    </row>
    <row r="112" spans="2:7" x14ac:dyDescent="0.2">
      <c r="B112" s="21" t="s">
        <v>206</v>
      </c>
      <c r="C112" s="32"/>
      <c r="D112" s="33"/>
      <c r="E112" s="33"/>
      <c r="F112" s="40">
        <v>845.86</v>
      </c>
    </row>
    <row r="113" spans="2:7" x14ac:dyDescent="0.2">
      <c r="B113" s="1" t="s">
        <v>53</v>
      </c>
      <c r="C113" s="32"/>
      <c r="D113" s="33"/>
      <c r="E113" s="33"/>
      <c r="F113" s="40">
        <f>SUM(F101:F112)</f>
        <v>85876087.469999999</v>
      </c>
      <c r="G113" s="62">
        <f>+F113/F94</f>
        <v>8.6853097316393596E-2</v>
      </c>
    </row>
    <row r="114" spans="2:7" ht="15.75" x14ac:dyDescent="0.25">
      <c r="B114" s="10"/>
    </row>
    <row r="115" spans="2:7" ht="16.5" thickBot="1" x14ac:dyDescent="0.3">
      <c r="B115" s="44" t="s">
        <v>36</v>
      </c>
      <c r="C115" s="48"/>
      <c r="D115" s="49"/>
      <c r="E115" s="49"/>
      <c r="F115" s="50">
        <f>+F94-F99-F113</f>
        <v>844949314.49000001</v>
      </c>
      <c r="G115" s="63">
        <f>+F115/F94</f>
        <v>0.85456227921954286</v>
      </c>
    </row>
    <row r="116" spans="2:7" ht="15.75" x14ac:dyDescent="0.25">
      <c r="B116" s="10"/>
    </row>
    <row r="117" spans="2:7" ht="15.75" x14ac:dyDescent="0.25">
      <c r="B117" s="37" t="s">
        <v>99</v>
      </c>
      <c r="C117" s="32"/>
      <c r="D117" s="33"/>
      <c r="E117" s="33"/>
    </row>
    <row r="118" spans="2:7" ht="15.75" x14ac:dyDescent="0.25">
      <c r="B118" s="37"/>
      <c r="C118" s="32"/>
      <c r="D118" s="33"/>
      <c r="E118" s="33"/>
    </row>
    <row r="119" spans="2:7" x14ac:dyDescent="0.2">
      <c r="B119" s="71" t="s">
        <v>100</v>
      </c>
      <c r="C119" s="32"/>
      <c r="D119" s="33"/>
      <c r="E119" s="33"/>
      <c r="F119" s="74">
        <f>+F120</f>
        <v>17729188.209999919</v>
      </c>
    </row>
    <row r="120" spans="2:7" ht="16.5" thickBot="1" x14ac:dyDescent="0.3">
      <c r="B120" s="37" t="s">
        <v>98</v>
      </c>
      <c r="F120" s="72">
        <f>+F115-F88</f>
        <v>17729188.209999919</v>
      </c>
    </row>
    <row r="121" spans="2:7" ht="13.5" thickTop="1" x14ac:dyDescent="0.2"/>
  </sheetData>
  <phoneticPr fontId="0" type="noConversion"/>
  <pageMargins left="0.5" right="0.25" top="0.5" bottom="0.5" header="0.5" footer="0"/>
  <pageSetup scale="81" orientation="portrait" r:id="rId1"/>
  <headerFooter alignWithMargins="0">
    <oddFooter>&amp;LCertification September 28, 2001&amp;CPage &amp;P of &amp;N&amp;RTrade Month March 2001</oddFooter>
  </headerFooter>
  <rowBreaks count="1" manualBreakCount="1">
    <brk id="59"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06"/>
  <sheetViews>
    <sheetView zoomScaleNormal="100" workbookViewId="0">
      <selection activeCell="H13" sqref="H13"/>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117</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104</v>
      </c>
      <c r="C8" s="86">
        <v>36982</v>
      </c>
      <c r="D8" s="14"/>
      <c r="E8" s="14"/>
      <c r="F8" s="30">
        <v>709358606.51999998</v>
      </c>
      <c r="G8" s="20">
        <f>+F8/F$8</f>
        <v>1</v>
      </c>
    </row>
    <row r="9" spans="1:7" s="1" customFormat="1" ht="13.5" thickTop="1" x14ac:dyDescent="0.2">
      <c r="A9" s="11"/>
      <c r="C9" s="75"/>
      <c r="D9" s="14"/>
      <c r="E9" s="14"/>
      <c r="F9" s="65"/>
      <c r="G9" s="58"/>
    </row>
    <row r="10" spans="1:7" s="1" customFormat="1" x14ac:dyDescent="0.2">
      <c r="A10" s="11"/>
      <c r="C10" s="75"/>
      <c r="D10" s="14"/>
      <c r="E10" s="14"/>
      <c r="F10" s="65"/>
      <c r="G10" s="58"/>
    </row>
    <row r="11" spans="1:7" ht="15.75" x14ac:dyDescent="0.25">
      <c r="A11" s="10" t="s">
        <v>48</v>
      </c>
      <c r="C11" s="77"/>
    </row>
    <row r="12" spans="1:7" ht="16.5" thickBot="1" x14ac:dyDescent="0.3">
      <c r="A12" s="10" t="s">
        <v>172</v>
      </c>
      <c r="C12" s="77"/>
    </row>
    <row r="13" spans="1:7" s="5" customFormat="1" ht="35.25" thickTop="1" thickBot="1" x14ac:dyDescent="0.25">
      <c r="A13" s="15" t="s">
        <v>11</v>
      </c>
      <c r="B13" s="15" t="s">
        <v>13</v>
      </c>
      <c r="C13" s="78" t="s">
        <v>12</v>
      </c>
      <c r="D13" s="15" t="s">
        <v>17</v>
      </c>
      <c r="E13" s="15" t="s">
        <v>15</v>
      </c>
      <c r="F13" s="16" t="s">
        <v>10</v>
      </c>
      <c r="G13" s="16" t="s">
        <v>55</v>
      </c>
    </row>
    <row r="14" spans="1:7" ht="13.5" thickTop="1" x14ac:dyDescent="0.2">
      <c r="C14" s="77"/>
    </row>
    <row r="15" spans="1:7" x14ac:dyDescent="0.2">
      <c r="A15" s="24">
        <v>1007</v>
      </c>
      <c r="B15" s="23" t="s">
        <v>58</v>
      </c>
      <c r="C15" s="69">
        <v>37071</v>
      </c>
      <c r="D15" s="31">
        <v>15591</v>
      </c>
      <c r="E15" s="24" t="s">
        <v>77</v>
      </c>
      <c r="F15" s="29">
        <v>20921.759999999998</v>
      </c>
      <c r="G15" s="28">
        <f t="shared" ref="G15:G45" si="0">+F15/$F$47</f>
        <v>2.9169810396715938E-5</v>
      </c>
    </row>
    <row r="16" spans="1:7" x14ac:dyDescent="0.2">
      <c r="A16" s="24">
        <v>1007</v>
      </c>
      <c r="B16" s="23" t="s">
        <v>58</v>
      </c>
      <c r="C16" s="69">
        <v>37084</v>
      </c>
      <c r="D16" s="31">
        <v>15731</v>
      </c>
      <c r="E16" s="24" t="s">
        <v>77</v>
      </c>
      <c r="F16" s="29">
        <v>16.170000000000002</v>
      </c>
      <c r="G16" s="28">
        <f t="shared" si="0"/>
        <v>2.2544749300006156E-8</v>
      </c>
    </row>
    <row r="17" spans="1:7" x14ac:dyDescent="0.2">
      <c r="A17" s="24">
        <v>2606</v>
      </c>
      <c r="B17" s="23" t="s">
        <v>0</v>
      </c>
      <c r="C17" s="69">
        <v>37071</v>
      </c>
      <c r="D17" s="31">
        <v>15553</v>
      </c>
      <c r="E17" s="24" t="s">
        <v>77</v>
      </c>
      <c r="F17" s="29">
        <v>220578.62</v>
      </c>
      <c r="G17" s="28">
        <f t="shared" si="0"/>
        <v>3.0753801415221542E-4</v>
      </c>
    </row>
    <row r="18" spans="1:7" x14ac:dyDescent="0.2">
      <c r="A18" s="24">
        <v>2746</v>
      </c>
      <c r="B18" s="23" t="s">
        <v>60</v>
      </c>
      <c r="C18" s="69">
        <v>37071</v>
      </c>
      <c r="D18" s="31">
        <v>15551</v>
      </c>
      <c r="E18" s="24" t="s">
        <v>77</v>
      </c>
      <c r="F18" s="29">
        <v>221.84</v>
      </c>
      <c r="G18" s="28">
        <f t="shared" si="0"/>
        <v>3.0929667190558843E-7</v>
      </c>
    </row>
    <row r="19" spans="1:7" x14ac:dyDescent="0.2">
      <c r="A19" s="24">
        <v>1544</v>
      </c>
      <c r="B19" s="23" t="s">
        <v>4</v>
      </c>
      <c r="C19" s="69">
        <v>37071</v>
      </c>
      <c r="D19" s="31">
        <v>15567</v>
      </c>
      <c r="E19" s="24" t="s">
        <v>77</v>
      </c>
      <c r="F19" s="29">
        <v>140656.32999999999</v>
      </c>
      <c r="G19" s="28">
        <f t="shared" si="0"/>
        <v>1.9610771164557417E-4</v>
      </c>
    </row>
    <row r="20" spans="1:7" x14ac:dyDescent="0.2">
      <c r="A20" s="24">
        <v>3106</v>
      </c>
      <c r="B20" s="23" t="s">
        <v>185</v>
      </c>
      <c r="C20" s="69">
        <v>37071</v>
      </c>
      <c r="D20" s="31">
        <v>15545</v>
      </c>
      <c r="E20" s="24" t="s">
        <v>77</v>
      </c>
      <c r="F20" s="29">
        <v>1288148.8400000001</v>
      </c>
      <c r="G20" s="28">
        <f t="shared" si="0"/>
        <v>1.7959797562704849E-3</v>
      </c>
    </row>
    <row r="21" spans="1:7" x14ac:dyDescent="0.2">
      <c r="A21" s="24">
        <v>1011</v>
      </c>
      <c r="B21" s="23" t="s">
        <v>185</v>
      </c>
      <c r="C21" s="69">
        <v>37071</v>
      </c>
      <c r="D21" s="31">
        <v>15588</v>
      </c>
      <c r="E21" s="24" t="s">
        <v>77</v>
      </c>
      <c r="F21" s="29">
        <v>171090.87</v>
      </c>
      <c r="G21" s="28">
        <f t="shared" si="0"/>
        <v>2.3854055483425751E-4</v>
      </c>
    </row>
    <row r="22" spans="1:7" x14ac:dyDescent="0.2">
      <c r="A22" s="24">
        <v>2528</v>
      </c>
      <c r="B22" s="23" t="s">
        <v>76</v>
      </c>
      <c r="C22" s="69">
        <v>37071</v>
      </c>
      <c r="D22" s="31">
        <v>15556</v>
      </c>
      <c r="E22" s="24" t="s">
        <v>77</v>
      </c>
      <c r="F22" s="29">
        <v>157189.18</v>
      </c>
      <c r="G22" s="28">
        <f t="shared" si="0"/>
        <v>2.1915835842755357E-4</v>
      </c>
    </row>
    <row r="23" spans="1:7" x14ac:dyDescent="0.2">
      <c r="A23" s="24">
        <v>1010</v>
      </c>
      <c r="B23" s="23" t="s">
        <v>61</v>
      </c>
      <c r="C23" s="69">
        <v>37071</v>
      </c>
      <c r="D23" s="31">
        <v>15589</v>
      </c>
      <c r="E23" s="24" t="s">
        <v>77</v>
      </c>
      <c r="F23" s="29">
        <v>3119404.25</v>
      </c>
      <c r="G23" s="28">
        <f t="shared" si="0"/>
        <v>4.3491766717145162E-3</v>
      </c>
    </row>
    <row r="24" spans="1:7" x14ac:dyDescent="0.2">
      <c r="A24" s="24">
        <v>2606</v>
      </c>
      <c r="B24" s="23" t="s">
        <v>0</v>
      </c>
      <c r="C24" s="69">
        <v>37071</v>
      </c>
      <c r="D24" s="31">
        <v>15617</v>
      </c>
      <c r="E24" s="24" t="s">
        <v>16</v>
      </c>
      <c r="F24" s="29">
        <v>3410801.81</v>
      </c>
      <c r="G24" s="28">
        <f t="shared" si="0"/>
        <v>4.7554527964413871E-3</v>
      </c>
    </row>
    <row r="25" spans="1:7" x14ac:dyDescent="0.2">
      <c r="A25" s="24">
        <v>2606</v>
      </c>
      <c r="B25" s="23" t="s">
        <v>0</v>
      </c>
      <c r="C25" s="69">
        <v>37084</v>
      </c>
      <c r="D25" s="31">
        <v>15758</v>
      </c>
      <c r="E25" s="24" t="s">
        <v>16</v>
      </c>
      <c r="F25" s="29">
        <v>361608.15</v>
      </c>
      <c r="G25" s="28">
        <f t="shared" si="0"/>
        <v>5.0416605359239464E-4</v>
      </c>
    </row>
    <row r="26" spans="1:7" x14ac:dyDescent="0.2">
      <c r="A26" s="24">
        <v>1685</v>
      </c>
      <c r="B26" s="23" t="s">
        <v>22</v>
      </c>
      <c r="C26" s="69">
        <v>37071</v>
      </c>
      <c r="D26" s="31">
        <v>15629</v>
      </c>
      <c r="E26" s="24" t="s">
        <v>16</v>
      </c>
      <c r="F26" s="29">
        <f>10577-8.88</f>
        <v>10568.12</v>
      </c>
      <c r="G26" s="28">
        <f t="shared" si="0"/>
        <v>1.4734422756486151E-5</v>
      </c>
    </row>
    <row r="27" spans="1:7" x14ac:dyDescent="0.2">
      <c r="A27" s="24">
        <v>1504</v>
      </c>
      <c r="B27" s="23" t="s">
        <v>2</v>
      </c>
      <c r="C27" s="69">
        <v>37071</v>
      </c>
      <c r="D27" s="31">
        <v>15635</v>
      </c>
      <c r="E27" s="24" t="s">
        <v>16</v>
      </c>
      <c r="F27" s="29">
        <v>166136.63</v>
      </c>
      <c r="G27" s="28">
        <f t="shared" si="0"/>
        <v>2.3163318941854554E-4</v>
      </c>
    </row>
    <row r="28" spans="1:7" x14ac:dyDescent="0.2">
      <c r="A28" s="24">
        <v>1504</v>
      </c>
      <c r="B28" s="23" t="s">
        <v>2</v>
      </c>
      <c r="C28" s="69">
        <v>37084</v>
      </c>
      <c r="D28" s="31">
        <v>15777</v>
      </c>
      <c r="E28" s="24" t="s">
        <v>16</v>
      </c>
      <c r="F28" s="29">
        <v>1699.09</v>
      </c>
      <c r="G28" s="28">
        <f t="shared" si="0"/>
        <v>2.3689275255502446E-6</v>
      </c>
    </row>
    <row r="29" spans="1:7" x14ac:dyDescent="0.2">
      <c r="A29" s="24">
        <v>1564</v>
      </c>
      <c r="B29" s="23" t="s">
        <v>23</v>
      </c>
      <c r="C29" s="69">
        <v>37071</v>
      </c>
      <c r="D29" s="31">
        <v>15631</v>
      </c>
      <c r="E29" s="24" t="s">
        <v>16</v>
      </c>
      <c r="F29" s="29">
        <f>3720429.56-334045.19</f>
        <v>3386384.37</v>
      </c>
      <c r="G29" s="28">
        <f t="shared" si="0"/>
        <v>4.7214091932658801E-3</v>
      </c>
    </row>
    <row r="30" spans="1:7" x14ac:dyDescent="0.2">
      <c r="A30" s="54">
        <v>1017</v>
      </c>
      <c r="B30" s="80" t="s">
        <v>108</v>
      </c>
      <c r="C30" s="69">
        <v>37071</v>
      </c>
      <c r="D30" s="31">
        <v>15656</v>
      </c>
      <c r="E30" s="24" t="s">
        <v>16</v>
      </c>
      <c r="F30" s="81">
        <v>6105737.21</v>
      </c>
      <c r="G30" s="79">
        <f t="shared" si="0"/>
        <v>8.5128209456505274E-3</v>
      </c>
    </row>
    <row r="31" spans="1:7" x14ac:dyDescent="0.2">
      <c r="A31" s="24">
        <v>1544</v>
      </c>
      <c r="B31" s="23" t="s">
        <v>4</v>
      </c>
      <c r="C31" s="69">
        <v>37071</v>
      </c>
      <c r="D31" s="31">
        <v>15632</v>
      </c>
      <c r="E31" s="24" t="s">
        <v>16</v>
      </c>
      <c r="F31" s="29">
        <v>4262853.17</v>
      </c>
      <c r="G31" s="28">
        <f t="shared" si="0"/>
        <v>5.9434110093003409E-3</v>
      </c>
    </row>
    <row r="32" spans="1:7" x14ac:dyDescent="0.2">
      <c r="A32" s="24">
        <v>1544</v>
      </c>
      <c r="B32" s="23" t="s">
        <v>4</v>
      </c>
      <c r="C32" s="69">
        <v>37084</v>
      </c>
      <c r="D32" s="31">
        <v>15774</v>
      </c>
      <c r="E32" s="24" t="s">
        <v>16</v>
      </c>
      <c r="F32" s="29">
        <v>91010.61</v>
      </c>
      <c r="G32" s="28">
        <f t="shared" si="0"/>
        <v>1.2689000532409604E-4</v>
      </c>
    </row>
    <row r="33" spans="1:7" x14ac:dyDescent="0.2">
      <c r="A33" s="24">
        <v>2531</v>
      </c>
      <c r="B33" s="23" t="s">
        <v>5</v>
      </c>
      <c r="C33" s="69">
        <v>37084</v>
      </c>
      <c r="D33" s="31">
        <v>15760</v>
      </c>
      <c r="E33" s="24" t="s">
        <v>16</v>
      </c>
      <c r="F33" s="29">
        <v>12.68</v>
      </c>
      <c r="G33" s="28">
        <f t="shared" si="0"/>
        <v>1.7678875765249106E-8</v>
      </c>
    </row>
    <row r="34" spans="1:7" x14ac:dyDescent="0.2">
      <c r="A34" s="24">
        <v>1005</v>
      </c>
      <c r="B34" s="23" t="s">
        <v>118</v>
      </c>
      <c r="C34" s="69">
        <v>37084</v>
      </c>
      <c r="D34" s="31">
        <v>15807</v>
      </c>
      <c r="E34" s="24" t="s">
        <v>16</v>
      </c>
      <c r="F34" s="29">
        <v>204.79</v>
      </c>
      <c r="G34" s="28">
        <f t="shared" si="0"/>
        <v>2.8552499747360915E-7</v>
      </c>
    </row>
    <row r="35" spans="1:7" x14ac:dyDescent="0.2">
      <c r="A35" s="24">
        <v>2769</v>
      </c>
      <c r="B35" s="23" t="s">
        <v>189</v>
      </c>
      <c r="C35" s="69">
        <v>37071</v>
      </c>
      <c r="D35" s="31">
        <v>15610</v>
      </c>
      <c r="E35" s="24" t="s">
        <v>16</v>
      </c>
      <c r="F35" s="29">
        <v>486576.92</v>
      </c>
      <c r="G35" s="28">
        <f t="shared" si="0"/>
        <v>6.7840164975690477E-4</v>
      </c>
    </row>
    <row r="36" spans="1:7" x14ac:dyDescent="0.2">
      <c r="A36" s="24">
        <v>3106</v>
      </c>
      <c r="B36" s="23" t="s">
        <v>185</v>
      </c>
      <c r="C36" s="69">
        <v>37071</v>
      </c>
      <c r="D36" s="31">
        <v>15603</v>
      </c>
      <c r="E36" s="24" t="s">
        <v>16</v>
      </c>
      <c r="F36" s="29">
        <v>50758977.649999999</v>
      </c>
      <c r="G36" s="28">
        <f t="shared" si="0"/>
        <v>7.0769846990962615E-2</v>
      </c>
    </row>
    <row r="37" spans="1:7" x14ac:dyDescent="0.2">
      <c r="A37" s="24">
        <v>3106</v>
      </c>
      <c r="B37" s="23" t="s">
        <v>185</v>
      </c>
      <c r="C37" s="69">
        <v>37084</v>
      </c>
      <c r="D37" s="31">
        <v>15743</v>
      </c>
      <c r="E37" s="24" t="s">
        <v>16</v>
      </c>
      <c r="F37" s="29">
        <v>256089.02</v>
      </c>
      <c r="G37" s="28">
        <f t="shared" si="0"/>
        <v>3.5704778938678178E-4</v>
      </c>
    </row>
    <row r="38" spans="1:7" x14ac:dyDescent="0.2">
      <c r="A38" s="24">
        <v>3187</v>
      </c>
      <c r="B38" s="23" t="s">
        <v>37</v>
      </c>
      <c r="C38" s="69">
        <v>37071</v>
      </c>
      <c r="D38" s="31">
        <v>15599</v>
      </c>
      <c r="E38" s="24" t="s">
        <v>16</v>
      </c>
      <c r="F38" s="29">
        <v>188545375.16999999</v>
      </c>
      <c r="G38" s="28">
        <f t="shared" si="0"/>
        <v>0.26287620376519821</v>
      </c>
    </row>
    <row r="39" spans="1:7" x14ac:dyDescent="0.2">
      <c r="A39" s="24">
        <v>3187</v>
      </c>
      <c r="B39" s="23" t="s">
        <v>37</v>
      </c>
      <c r="C39" s="69">
        <v>37084</v>
      </c>
      <c r="D39" s="31">
        <v>15739</v>
      </c>
      <c r="E39" s="24" t="s">
        <v>16</v>
      </c>
      <c r="F39" s="29">
        <v>8324121.6699999999</v>
      </c>
      <c r="G39" s="28">
        <f t="shared" si="0"/>
        <v>1.1605765998323967E-2</v>
      </c>
    </row>
    <row r="40" spans="1:7" x14ac:dyDescent="0.2">
      <c r="A40" s="24">
        <v>3186</v>
      </c>
      <c r="B40" s="23" t="s">
        <v>37</v>
      </c>
      <c r="C40" s="69">
        <v>37071</v>
      </c>
      <c r="D40" s="31">
        <v>15600</v>
      </c>
      <c r="E40" s="24" t="s">
        <v>16</v>
      </c>
      <c r="F40" s="29">
        <v>16951713.870000001</v>
      </c>
      <c r="G40" s="28">
        <f t="shared" si="0"/>
        <v>2.3634640655818624E-2</v>
      </c>
    </row>
    <row r="41" spans="1:7" x14ac:dyDescent="0.2">
      <c r="A41" s="24">
        <v>1011</v>
      </c>
      <c r="B41" s="23" t="s">
        <v>185</v>
      </c>
      <c r="C41" s="69">
        <v>37071</v>
      </c>
      <c r="D41" s="31">
        <v>15660</v>
      </c>
      <c r="E41" s="24" t="s">
        <v>16</v>
      </c>
      <c r="F41" s="29">
        <v>1100362.1100000001</v>
      </c>
      <c r="G41" s="28">
        <f t="shared" si="0"/>
        <v>1.5341612807158811E-3</v>
      </c>
    </row>
    <row r="42" spans="1:7" x14ac:dyDescent="0.2">
      <c r="A42" s="24">
        <v>2528</v>
      </c>
      <c r="B42" s="23" t="s">
        <v>76</v>
      </c>
      <c r="C42" s="69">
        <v>37084</v>
      </c>
      <c r="D42" s="31">
        <v>15762</v>
      </c>
      <c r="E42" s="24" t="s">
        <v>16</v>
      </c>
      <c r="F42" s="29">
        <v>3576.11</v>
      </c>
      <c r="G42" s="28">
        <f t="shared" si="0"/>
        <v>4.9859309473868278E-6</v>
      </c>
    </row>
    <row r="43" spans="1:7" x14ac:dyDescent="0.2">
      <c r="A43" s="24">
        <v>1010</v>
      </c>
      <c r="B43" s="23" t="s">
        <v>61</v>
      </c>
      <c r="C43" s="69">
        <v>37071</v>
      </c>
      <c r="D43" s="31">
        <v>15661</v>
      </c>
      <c r="E43" s="24" t="s">
        <v>16</v>
      </c>
      <c r="F43" s="29">
        <v>427893504.99000001</v>
      </c>
      <c r="G43" s="28">
        <f t="shared" si="0"/>
        <v>0.59658328986397546</v>
      </c>
    </row>
    <row r="44" spans="1:7" s="21" customFormat="1" x14ac:dyDescent="0.2">
      <c r="A44" s="24">
        <v>1024</v>
      </c>
      <c r="B44" s="23" t="s">
        <v>8</v>
      </c>
      <c r="C44" s="69">
        <v>37071</v>
      </c>
      <c r="D44" s="31">
        <v>15651</v>
      </c>
      <c r="E44" s="24" t="s">
        <v>16</v>
      </c>
      <c r="F44" s="29">
        <v>2885.2</v>
      </c>
      <c r="G44" s="28">
        <f t="shared" si="0"/>
        <v>4.0226413531464289E-6</v>
      </c>
    </row>
    <row r="45" spans="1:7" x14ac:dyDescent="0.2">
      <c r="A45" s="24">
        <v>1024</v>
      </c>
      <c r="B45" s="23" t="s">
        <v>8</v>
      </c>
      <c r="C45" s="69">
        <v>37084</v>
      </c>
      <c r="D45" s="31">
        <v>15793</v>
      </c>
      <c r="E45" s="24" t="s">
        <v>16</v>
      </c>
      <c r="F45" s="55">
        <v>1750.76</v>
      </c>
      <c r="G45" s="56">
        <f t="shared" si="0"/>
        <v>2.4409675500605301E-6</v>
      </c>
    </row>
    <row r="46" spans="1:7" x14ac:dyDescent="0.2">
      <c r="A46" s="7"/>
      <c r="B46" s="2"/>
      <c r="C46" s="9"/>
      <c r="D46" s="7"/>
      <c r="E46" s="13"/>
      <c r="F46" s="6"/>
      <c r="G46" s="21"/>
    </row>
    <row r="47" spans="1:7" ht="13.5" thickBot="1" x14ac:dyDescent="0.25">
      <c r="B47" s="1" t="s">
        <v>18</v>
      </c>
      <c r="F47" s="30">
        <f>SUM(F15:F45)</f>
        <v>717240177.96000004</v>
      </c>
      <c r="G47" s="20">
        <f>+F47/F47</f>
        <v>1</v>
      </c>
    </row>
    <row r="48" spans="1:7" ht="13.5" thickTop="1" x14ac:dyDescent="0.2">
      <c r="B48" s="1"/>
      <c r="F48" s="65"/>
      <c r="G48" s="58"/>
    </row>
    <row r="49" spans="2:7" x14ac:dyDescent="0.2">
      <c r="B49" s="1"/>
      <c r="F49" s="65"/>
      <c r="G49" s="58"/>
    </row>
    <row r="50" spans="2:7" x14ac:dyDescent="0.2">
      <c r="B50" s="82" t="s">
        <v>184</v>
      </c>
      <c r="F50" s="65"/>
      <c r="G50" s="58"/>
    </row>
    <row r="52" spans="2:7" ht="15.75" x14ac:dyDescent="0.25">
      <c r="B52" s="10" t="str">
        <f>+B1</f>
        <v>Certification for Market Settlement September 28, 2001</v>
      </c>
    </row>
    <row r="53" spans="2:7" ht="15.75" x14ac:dyDescent="0.25">
      <c r="B53" s="10"/>
    </row>
    <row r="54" spans="2:7" ht="15.75" x14ac:dyDescent="0.25">
      <c r="B54" s="10" t="str">
        <f>+B3</f>
        <v>For the Trade Month of April 2001</v>
      </c>
    </row>
    <row r="55" spans="2:7" ht="15.75" x14ac:dyDescent="0.25">
      <c r="B55" s="10"/>
    </row>
    <row r="56" spans="2:7" ht="15.75" x14ac:dyDescent="0.25">
      <c r="B56" s="10"/>
    </row>
    <row r="57" spans="2:7" ht="15.75" x14ac:dyDescent="0.25">
      <c r="B57" s="10" t="s">
        <v>27</v>
      </c>
    </row>
    <row r="58" spans="2:7" ht="15.75" x14ac:dyDescent="0.25">
      <c r="B58" s="10"/>
    </row>
    <row r="59" spans="2:7" x14ac:dyDescent="0.2">
      <c r="B59" s="21" t="s">
        <v>26</v>
      </c>
      <c r="C59" s="32"/>
      <c r="D59" s="33"/>
      <c r="E59" s="33"/>
      <c r="F59" s="34">
        <v>782081536.39999998</v>
      </c>
      <c r="G59" s="61">
        <f>+F59/F61</f>
        <v>0.98612500846426299</v>
      </c>
    </row>
    <row r="60" spans="2:7" x14ac:dyDescent="0.2">
      <c r="B60" s="21" t="s">
        <v>28</v>
      </c>
      <c r="C60" s="32"/>
      <c r="D60" s="33"/>
      <c r="E60" s="33"/>
      <c r="F60" s="39">
        <v>11004055.880000001</v>
      </c>
      <c r="G60" s="61">
        <f>+F60/F61</f>
        <v>1.3874991535737045E-2</v>
      </c>
    </row>
    <row r="61" spans="2:7" x14ac:dyDescent="0.2">
      <c r="B61" s="35" t="s">
        <v>29</v>
      </c>
      <c r="C61" s="32"/>
      <c r="D61" s="33"/>
      <c r="E61" s="33"/>
      <c r="F61" s="39">
        <f>SUM(F59:F60)</f>
        <v>793085592.27999997</v>
      </c>
      <c r="G61" s="62">
        <f>+F61/F61</f>
        <v>1</v>
      </c>
    </row>
    <row r="62" spans="2:7" ht="15.75" x14ac:dyDescent="0.25">
      <c r="B62" s="10"/>
    </row>
    <row r="63" spans="2:7" x14ac:dyDescent="0.2">
      <c r="B63" s="21" t="s">
        <v>119</v>
      </c>
      <c r="C63" s="32"/>
      <c r="D63" s="33"/>
      <c r="E63" s="33"/>
      <c r="F63" s="6">
        <v>59675885.689999998</v>
      </c>
    </row>
    <row r="64" spans="2:7" x14ac:dyDescent="0.2">
      <c r="B64" s="21" t="s">
        <v>114</v>
      </c>
      <c r="C64" s="32"/>
      <c r="D64" s="33"/>
      <c r="E64" s="33"/>
      <c r="F64" s="6">
        <f>724101.32+3717.88</f>
        <v>727819.2</v>
      </c>
    </row>
    <row r="65" spans="1:7" x14ac:dyDescent="0.2">
      <c r="B65" s="21" t="s">
        <v>114</v>
      </c>
      <c r="C65" s="32"/>
      <c r="D65" s="33"/>
      <c r="E65" s="33"/>
      <c r="F65" s="39">
        <v>16643322.310000001</v>
      </c>
    </row>
    <row r="66" spans="1:7" x14ac:dyDescent="0.2">
      <c r="B66" s="35" t="s">
        <v>33</v>
      </c>
      <c r="C66" s="32"/>
      <c r="D66" s="33"/>
      <c r="E66" s="33"/>
      <c r="F66" s="39">
        <f>SUM(F63:F65)</f>
        <v>77047027.200000003</v>
      </c>
      <c r="G66" s="62">
        <f>+F66/F61</f>
        <v>9.7148438894850642E-2</v>
      </c>
    </row>
    <row r="67" spans="1:7" ht="15.75" x14ac:dyDescent="0.25">
      <c r="B67" s="10"/>
    </row>
    <row r="68" spans="1:7" s="21" customFormat="1" x14ac:dyDescent="0.2">
      <c r="A68" s="32"/>
      <c r="B68" s="21" t="s">
        <v>166</v>
      </c>
      <c r="C68" s="32"/>
      <c r="D68" s="33"/>
      <c r="E68" s="33"/>
      <c r="F68" s="6">
        <v>23446.77</v>
      </c>
    </row>
    <row r="69" spans="1:7" s="21" customFormat="1" x14ac:dyDescent="0.2">
      <c r="A69" s="32"/>
      <c r="B69" s="21" t="s">
        <v>152</v>
      </c>
      <c r="C69" s="32"/>
      <c r="D69" s="33"/>
      <c r="E69" s="33"/>
      <c r="F69" s="6">
        <f>18586.04+1701.48</f>
        <v>20287.52</v>
      </c>
    </row>
    <row r="70" spans="1:7" s="21" customFormat="1" x14ac:dyDescent="0.2">
      <c r="A70" s="32"/>
      <c r="B70" s="21" t="s">
        <v>146</v>
      </c>
      <c r="C70" s="32"/>
      <c r="D70" s="33"/>
      <c r="E70" s="33"/>
      <c r="F70" s="6">
        <f>171309.95+4808.47</f>
        <v>176118.42</v>
      </c>
    </row>
    <row r="71" spans="1:7" s="21" customFormat="1" x14ac:dyDescent="0.2">
      <c r="A71" s="32"/>
      <c r="B71" s="21" t="s">
        <v>144</v>
      </c>
      <c r="C71" s="32"/>
      <c r="D71" s="33"/>
      <c r="E71" s="33"/>
      <c r="F71" s="6">
        <f>3183507.98+4743.92-3717.88</f>
        <v>3184534.02</v>
      </c>
    </row>
    <row r="72" spans="1:7" s="21" customFormat="1" x14ac:dyDescent="0.2">
      <c r="A72" s="32"/>
      <c r="B72" s="21" t="s">
        <v>174</v>
      </c>
      <c r="C72" s="32"/>
      <c r="D72" s="33"/>
      <c r="E72" s="33"/>
      <c r="F72" s="6">
        <v>9967.98</v>
      </c>
    </row>
    <row r="73" spans="1:7" s="21" customFormat="1" x14ac:dyDescent="0.2">
      <c r="A73" s="32"/>
      <c r="B73" s="21" t="s">
        <v>145</v>
      </c>
      <c r="C73" s="32"/>
      <c r="D73" s="33"/>
      <c r="E73" s="33"/>
      <c r="F73" s="6">
        <f>169976.54+9221.99</f>
        <v>179198.53</v>
      </c>
    </row>
    <row r="74" spans="1:7" s="21" customFormat="1" x14ac:dyDescent="0.2">
      <c r="A74" s="32"/>
      <c r="B74" s="21" t="s">
        <v>199</v>
      </c>
      <c r="C74" s="32"/>
      <c r="D74" s="33"/>
      <c r="E74" s="33"/>
      <c r="F74" s="39">
        <v>323061.74</v>
      </c>
    </row>
    <row r="75" spans="1:7" x14ac:dyDescent="0.2">
      <c r="B75" s="1" t="s">
        <v>53</v>
      </c>
      <c r="F75" s="40">
        <f>SUM(F68:F74)</f>
        <v>3916614.9799999995</v>
      </c>
      <c r="G75" s="62">
        <f>+F75/F61</f>
        <v>4.9384518116642739E-3</v>
      </c>
    </row>
    <row r="76" spans="1:7" x14ac:dyDescent="0.2">
      <c r="B76" s="1"/>
      <c r="F76" s="36"/>
      <c r="G76" s="62"/>
    </row>
    <row r="77" spans="1:7" s="21" customFormat="1" x14ac:dyDescent="0.2">
      <c r="A77" s="32"/>
      <c r="B77" s="21" t="s">
        <v>173</v>
      </c>
      <c r="C77" s="32"/>
      <c r="D77" s="33"/>
      <c r="E77" s="33"/>
      <c r="F77" s="39">
        <v>5118227.8600000003</v>
      </c>
      <c r="G77" s="62">
        <f>+F77/F61</f>
        <v>6.4535630325673636E-3</v>
      </c>
    </row>
    <row r="78" spans="1:7" ht="15.75" x14ac:dyDescent="0.25">
      <c r="B78" s="10"/>
    </row>
    <row r="79" spans="1:7" ht="16.5" thickBot="1" x14ac:dyDescent="0.3">
      <c r="B79" s="44" t="s">
        <v>35</v>
      </c>
      <c r="C79" s="48"/>
      <c r="D79" s="49"/>
      <c r="E79" s="49"/>
      <c r="F79" s="50">
        <f>+F61-F66-F75+F77</f>
        <v>717240177.95999992</v>
      </c>
      <c r="G79" s="63">
        <f>+F79/F61</f>
        <v>0.90436667232605239</v>
      </c>
    </row>
    <row r="80" spans="1:7" ht="15.75" x14ac:dyDescent="0.25">
      <c r="B80" s="37"/>
      <c r="C80" s="32"/>
      <c r="D80" s="33"/>
      <c r="E80" s="33"/>
      <c r="F80" s="38"/>
    </row>
    <row r="81" spans="1:7" ht="15.75" x14ac:dyDescent="0.25">
      <c r="B81" s="10"/>
    </row>
    <row r="82" spans="1:7" ht="15.75" x14ac:dyDescent="0.25">
      <c r="B82" s="37" t="s">
        <v>34</v>
      </c>
      <c r="C82" s="32"/>
      <c r="D82" s="33"/>
      <c r="E82" s="33"/>
      <c r="F82" s="21"/>
    </row>
    <row r="83" spans="1:7" ht="15.75" x14ac:dyDescent="0.25">
      <c r="B83" s="37"/>
      <c r="C83" s="32"/>
      <c r="D83" s="33"/>
      <c r="E83" s="33"/>
      <c r="F83" s="21"/>
    </row>
    <row r="84" spans="1:7" s="21" customFormat="1" x14ac:dyDescent="0.2">
      <c r="A84" s="32"/>
      <c r="B84" s="21" t="s">
        <v>26</v>
      </c>
      <c r="C84" s="32"/>
      <c r="D84" s="33"/>
      <c r="E84" s="33"/>
      <c r="F84" s="34">
        <v>781819933.97000003</v>
      </c>
      <c r="G84" s="64">
        <f>+F84/F86</f>
        <v>0.99592312801425242</v>
      </c>
    </row>
    <row r="85" spans="1:7" x14ac:dyDescent="0.2">
      <c r="B85" s="21" t="s">
        <v>28</v>
      </c>
      <c r="C85" s="32"/>
      <c r="D85" s="33"/>
      <c r="E85" s="33"/>
      <c r="F85" s="39">
        <v>3200427.52</v>
      </c>
      <c r="G85" s="64">
        <f>+F85/F86</f>
        <v>4.0768719857475549E-3</v>
      </c>
    </row>
    <row r="86" spans="1:7" x14ac:dyDescent="0.2">
      <c r="B86" s="35" t="s">
        <v>29</v>
      </c>
      <c r="C86" s="32"/>
      <c r="D86" s="33"/>
      <c r="E86" s="33"/>
      <c r="F86" s="39">
        <f>SUM(F84:F85)</f>
        <v>785020361.49000001</v>
      </c>
      <c r="G86" s="62">
        <f>+F86/F86</f>
        <v>1</v>
      </c>
    </row>
    <row r="87" spans="1:7" ht="15.75" x14ac:dyDescent="0.25">
      <c r="B87" s="10"/>
    </row>
    <row r="88" spans="1:7" x14ac:dyDescent="0.2">
      <c r="B88" s="21" t="s">
        <v>120</v>
      </c>
      <c r="C88" s="32"/>
      <c r="D88" s="33"/>
      <c r="E88" s="33"/>
      <c r="F88" s="6">
        <v>53933943.25</v>
      </c>
    </row>
    <row r="89" spans="1:7" x14ac:dyDescent="0.2">
      <c r="B89" s="21" t="s">
        <v>121</v>
      </c>
      <c r="C89" s="32"/>
      <c r="D89" s="33"/>
      <c r="E89" s="33"/>
      <c r="F89" s="6">
        <v>1302886.05</v>
      </c>
    </row>
    <row r="90" spans="1:7" x14ac:dyDescent="0.2">
      <c r="B90" s="21" t="s">
        <v>175</v>
      </c>
      <c r="C90" s="32"/>
      <c r="D90" s="33"/>
      <c r="E90" s="33"/>
      <c r="F90" s="39">
        <v>16774321.140000001</v>
      </c>
    </row>
    <row r="91" spans="1:7" x14ac:dyDescent="0.2">
      <c r="B91" s="35" t="s">
        <v>41</v>
      </c>
      <c r="C91" s="32"/>
      <c r="D91" s="33"/>
      <c r="E91" s="33"/>
      <c r="F91" s="39">
        <f>SUM(F88:F90)</f>
        <v>72011150.439999998</v>
      </c>
      <c r="G91" s="62">
        <f>+F91/F86</f>
        <v>9.173157025292944E-2</v>
      </c>
    </row>
    <row r="92" spans="1:7" ht="15.75" x14ac:dyDescent="0.25">
      <c r="B92" s="10"/>
    </row>
    <row r="93" spans="1:7" x14ac:dyDescent="0.2">
      <c r="B93" s="21" t="s">
        <v>159</v>
      </c>
      <c r="C93" s="32"/>
      <c r="D93" s="33"/>
      <c r="E93" s="33"/>
      <c r="F93" s="36">
        <v>24785.08</v>
      </c>
    </row>
    <row r="94" spans="1:7" x14ac:dyDescent="0.2">
      <c r="B94" s="21" t="s">
        <v>142</v>
      </c>
      <c r="C94" s="32"/>
      <c r="D94" s="33"/>
      <c r="E94" s="33"/>
      <c r="F94" s="36">
        <v>2376.69</v>
      </c>
    </row>
    <row r="95" spans="1:7" x14ac:dyDescent="0.2">
      <c r="B95" s="21" t="s">
        <v>154</v>
      </c>
      <c r="C95" s="32"/>
      <c r="D95" s="33"/>
      <c r="E95" s="33"/>
      <c r="F95" s="36">
        <v>10525.68</v>
      </c>
    </row>
    <row r="96" spans="1:7" x14ac:dyDescent="0.2">
      <c r="B96" s="21" t="s">
        <v>168</v>
      </c>
      <c r="C96" s="32"/>
      <c r="D96" s="33"/>
      <c r="E96" s="33"/>
      <c r="F96" s="36">
        <v>1513.5</v>
      </c>
    </row>
    <row r="97" spans="2:7" x14ac:dyDescent="0.2">
      <c r="B97" s="21" t="s">
        <v>153</v>
      </c>
      <c r="C97" s="32"/>
      <c r="D97" s="33"/>
      <c r="E97" s="33"/>
      <c r="F97" s="36">
        <v>205.19</v>
      </c>
    </row>
    <row r="98" spans="2:7" x14ac:dyDescent="0.2">
      <c r="B98" s="21" t="s">
        <v>163</v>
      </c>
      <c r="C98" s="32"/>
      <c r="D98" s="33"/>
      <c r="E98" s="33"/>
      <c r="F98" s="36">
        <f>3188251.9-3717.88</f>
        <v>3184534.02</v>
      </c>
    </row>
    <row r="99" spans="2:7" x14ac:dyDescent="0.2">
      <c r="B99" s="21" t="s">
        <v>171</v>
      </c>
      <c r="C99" s="32"/>
      <c r="D99" s="33"/>
      <c r="E99" s="33"/>
      <c r="F99" s="36">
        <v>358212.75</v>
      </c>
    </row>
    <row r="100" spans="2:7" x14ac:dyDescent="0.2">
      <c r="B100" s="21" t="s">
        <v>176</v>
      </c>
      <c r="C100" s="32"/>
      <c r="D100" s="33"/>
      <c r="E100" s="33"/>
      <c r="F100" s="36">
        <v>9950.2099999999991</v>
      </c>
    </row>
    <row r="101" spans="2:7" x14ac:dyDescent="0.2">
      <c r="B101" s="21" t="s">
        <v>177</v>
      </c>
      <c r="C101" s="32"/>
      <c r="D101" s="33"/>
      <c r="E101" s="33"/>
      <c r="F101" s="36">
        <v>6264.07</v>
      </c>
    </row>
    <row r="102" spans="2:7" x14ac:dyDescent="0.2">
      <c r="B102" s="21" t="s">
        <v>178</v>
      </c>
      <c r="C102" s="32"/>
      <c r="D102" s="33"/>
      <c r="E102" s="33"/>
      <c r="F102" s="40">
        <v>52237.34</v>
      </c>
    </row>
    <row r="103" spans="2:7" x14ac:dyDescent="0.2">
      <c r="B103" s="1" t="s">
        <v>53</v>
      </c>
      <c r="C103" s="32"/>
      <c r="D103" s="33"/>
      <c r="E103" s="33"/>
      <c r="F103" s="40">
        <f>SUM(F93:F102)</f>
        <v>3650604.53</v>
      </c>
      <c r="G103" s="62">
        <f>+F103/F86</f>
        <v>4.6503310093396893E-3</v>
      </c>
    </row>
    <row r="104" spans="2:7" ht="15.75" x14ac:dyDescent="0.25">
      <c r="B104" s="10"/>
    </row>
    <row r="105" spans="2:7" ht="16.5" thickBot="1" x14ac:dyDescent="0.3">
      <c r="B105" s="44" t="s">
        <v>36</v>
      </c>
      <c r="C105" s="48"/>
      <c r="D105" s="49"/>
      <c r="E105" s="49"/>
      <c r="F105" s="50">
        <f>+F86-F91-F103</f>
        <v>709358606.51999998</v>
      </c>
      <c r="G105" s="63">
        <f>+F105/F86</f>
        <v>0.9036180987377308</v>
      </c>
    </row>
    <row r="106" spans="2:7" ht="15.75" x14ac:dyDescent="0.25">
      <c r="B106" s="10"/>
    </row>
  </sheetData>
  <phoneticPr fontId="0" type="noConversion"/>
  <pageMargins left="0.5" right="0.25" top="0.5" bottom="0.5" header="0.5" footer="0"/>
  <pageSetup scale="92" orientation="portrait" r:id="rId1"/>
  <headerFooter alignWithMargins="0">
    <oddFooter>&amp;LCertification September 28,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12"/>
  <sheetViews>
    <sheetView zoomScaleNormal="100" workbookViewId="0">
      <selection activeCell="F30" sqref="F30"/>
    </sheetView>
  </sheetViews>
  <sheetFormatPr defaultRowHeight="12.75" x14ac:dyDescent="0.2"/>
  <cols>
    <col min="1" max="1" width="6.85546875" style="8" customWidth="1"/>
    <col min="2" max="2" width="50.5703125" customWidth="1"/>
    <col min="3" max="3" width="8.42578125" style="8" customWidth="1"/>
    <col min="4" max="4" width="5.42578125" style="12" bestFit="1" customWidth="1"/>
    <col min="5" max="5" width="4.42578125" style="12" bestFit="1" customWidth="1"/>
    <col min="6" max="6" width="22.5703125" bestFit="1" customWidth="1"/>
    <col min="7" max="7" width="12.28515625" bestFit="1" customWidth="1"/>
  </cols>
  <sheetData>
    <row r="1" spans="1:7" ht="15.75" x14ac:dyDescent="0.25">
      <c r="B1" s="53" t="s">
        <v>195</v>
      </c>
    </row>
    <row r="2" spans="1:7" ht="15.75" x14ac:dyDescent="0.25">
      <c r="B2" s="10"/>
    </row>
    <row r="3" spans="1:7" ht="15.75" x14ac:dyDescent="0.25">
      <c r="B3" s="10" t="s">
        <v>179</v>
      </c>
    </row>
    <row r="4" spans="1:7" ht="15.75" x14ac:dyDescent="0.25">
      <c r="B4" s="10"/>
    </row>
    <row r="5" spans="1:7" ht="15.75" x14ac:dyDescent="0.25">
      <c r="B5" s="10"/>
    </row>
    <row r="6" spans="1:7" ht="16.5" thickBot="1" x14ac:dyDescent="0.3">
      <c r="A6" s="10" t="s">
        <v>56</v>
      </c>
    </row>
    <row r="7" spans="1:7" s="5" customFormat="1" ht="35.25" thickTop="1" thickBot="1" x14ac:dyDescent="0.25">
      <c r="A7" s="15" t="s">
        <v>11</v>
      </c>
      <c r="B7" s="15" t="s">
        <v>13</v>
      </c>
      <c r="C7" s="15" t="s">
        <v>50</v>
      </c>
      <c r="D7" s="45"/>
      <c r="E7" s="46"/>
      <c r="F7" s="47" t="s">
        <v>51</v>
      </c>
      <c r="G7" s="16" t="s">
        <v>52</v>
      </c>
    </row>
    <row r="8" spans="1:7" s="3" customFormat="1" ht="12" thickTop="1" x14ac:dyDescent="0.2">
      <c r="F8" s="4"/>
    </row>
    <row r="9" spans="1:7" s="1" customFormat="1" ht="13.5" thickBot="1" x14ac:dyDescent="0.25">
      <c r="A9" s="11"/>
      <c r="B9" s="1" t="s">
        <v>180</v>
      </c>
      <c r="C9" s="86">
        <v>37012</v>
      </c>
      <c r="D9" s="14"/>
      <c r="E9" s="14"/>
      <c r="F9" s="30">
        <v>569932330.5</v>
      </c>
      <c r="G9" s="20">
        <f>+F9/F$9</f>
        <v>1</v>
      </c>
    </row>
    <row r="10" spans="1:7" s="1" customFormat="1" ht="13.5" thickTop="1" x14ac:dyDescent="0.2">
      <c r="A10" s="11"/>
      <c r="C10" s="75"/>
      <c r="D10" s="14"/>
      <c r="E10" s="14"/>
      <c r="F10" s="65"/>
      <c r="G10" s="58"/>
    </row>
    <row r="11" spans="1:7" s="1" customFormat="1" x14ac:dyDescent="0.2">
      <c r="A11" s="11"/>
      <c r="C11" s="75"/>
      <c r="D11" s="14"/>
      <c r="E11" s="14"/>
      <c r="F11" s="65"/>
      <c r="G11" s="58"/>
    </row>
    <row r="12" spans="1:7" s="1" customFormat="1" x14ac:dyDescent="0.2">
      <c r="A12" s="11"/>
      <c r="B12" s="11"/>
      <c r="C12" s="76"/>
      <c r="D12" s="14"/>
      <c r="E12" s="14"/>
      <c r="F12" s="65"/>
      <c r="G12" s="58"/>
    </row>
    <row r="13" spans="1:7" ht="15.75" x14ac:dyDescent="0.25">
      <c r="A13" s="10" t="s">
        <v>48</v>
      </c>
      <c r="C13" s="77"/>
    </row>
    <row r="14" spans="1:7" ht="16.5" thickBot="1" x14ac:dyDescent="0.3">
      <c r="A14" s="10" t="s">
        <v>208</v>
      </c>
      <c r="C14" s="77"/>
    </row>
    <row r="15" spans="1:7" s="5" customFormat="1" ht="24" thickTop="1" thickBot="1" x14ac:dyDescent="0.25">
      <c r="A15" s="15" t="s">
        <v>11</v>
      </c>
      <c r="B15" s="15" t="s">
        <v>13</v>
      </c>
      <c r="C15" s="78" t="s">
        <v>12</v>
      </c>
      <c r="D15" s="15" t="s">
        <v>17</v>
      </c>
      <c r="E15" s="15" t="s">
        <v>15</v>
      </c>
      <c r="F15" s="16" t="s">
        <v>10</v>
      </c>
      <c r="G15" s="16" t="s">
        <v>55</v>
      </c>
    </row>
    <row r="16" spans="1:7" ht="13.5" thickTop="1" x14ac:dyDescent="0.2">
      <c r="C16" s="77"/>
    </row>
    <row r="17" spans="1:7" x14ac:dyDescent="0.2">
      <c r="A17" s="24">
        <v>1007</v>
      </c>
      <c r="B17" s="23" t="s">
        <v>58</v>
      </c>
      <c r="C17" s="69">
        <v>37097</v>
      </c>
      <c r="D17" s="54">
        <v>15887</v>
      </c>
      <c r="E17" s="24" t="s">
        <v>77</v>
      </c>
      <c r="F17" s="29">
        <v>47461.45</v>
      </c>
      <c r="G17" s="28">
        <f t="shared" ref="G17:G50" si="0">+F17/$F$52</f>
        <v>8.3499708008761815E-5</v>
      </c>
    </row>
    <row r="18" spans="1:7" x14ac:dyDescent="0.2">
      <c r="A18" s="24">
        <v>2606</v>
      </c>
      <c r="B18" s="23" t="s">
        <v>0</v>
      </c>
      <c r="C18" s="69">
        <v>37097</v>
      </c>
      <c r="D18" s="54">
        <v>15855</v>
      </c>
      <c r="E18" s="24" t="s">
        <v>77</v>
      </c>
      <c r="F18" s="29">
        <v>128935.29</v>
      </c>
      <c r="G18" s="28">
        <f t="shared" si="0"/>
        <v>2.2683797201781714E-4</v>
      </c>
    </row>
    <row r="19" spans="1:7" x14ac:dyDescent="0.2">
      <c r="A19" s="24">
        <v>1544</v>
      </c>
      <c r="B19" s="23" t="s">
        <v>4</v>
      </c>
      <c r="C19" s="69">
        <v>37097</v>
      </c>
      <c r="D19" s="54">
        <v>15868</v>
      </c>
      <c r="E19" s="24" t="s">
        <v>77</v>
      </c>
      <c r="F19" s="29">
        <v>135747.91</v>
      </c>
      <c r="G19" s="28">
        <f t="shared" si="0"/>
        <v>2.3882352620494484E-4</v>
      </c>
    </row>
    <row r="20" spans="1:7" x14ac:dyDescent="0.2">
      <c r="A20" s="24">
        <v>2528</v>
      </c>
      <c r="B20" s="23" t="s">
        <v>76</v>
      </c>
      <c r="C20" s="69">
        <v>37097</v>
      </c>
      <c r="D20" s="54">
        <v>15857</v>
      </c>
      <c r="E20" s="24" t="s">
        <v>77</v>
      </c>
      <c r="F20" s="29">
        <v>238119.93</v>
      </c>
      <c r="G20" s="28">
        <f t="shared" si="0"/>
        <v>4.189283013069934E-4</v>
      </c>
    </row>
    <row r="21" spans="1:7" x14ac:dyDescent="0.2">
      <c r="A21" s="24">
        <v>1010</v>
      </c>
      <c r="B21" s="23" t="s">
        <v>61</v>
      </c>
      <c r="C21" s="69">
        <v>37097</v>
      </c>
      <c r="D21" s="54">
        <v>15886</v>
      </c>
      <c r="E21" s="24" t="s">
        <v>77</v>
      </c>
      <c r="F21" s="29">
        <v>2918351.14</v>
      </c>
      <c r="G21" s="28">
        <f t="shared" si="0"/>
        <v>5.1343030618962796E-3</v>
      </c>
    </row>
    <row r="22" spans="1:7" x14ac:dyDescent="0.2">
      <c r="A22" s="24">
        <v>1010</v>
      </c>
      <c r="B22" s="23" t="s">
        <v>61</v>
      </c>
      <c r="C22" s="69">
        <v>37116</v>
      </c>
      <c r="D22" s="54">
        <v>16026</v>
      </c>
      <c r="E22" s="24" t="s">
        <v>77</v>
      </c>
      <c r="F22" s="29">
        <v>7917.83</v>
      </c>
      <c r="G22" s="28">
        <f t="shared" si="0"/>
        <v>1.3929968280847183E-5</v>
      </c>
    </row>
    <row r="23" spans="1:7" x14ac:dyDescent="0.2">
      <c r="A23" s="24">
        <v>1007</v>
      </c>
      <c r="B23" s="23" t="s">
        <v>58</v>
      </c>
      <c r="C23" s="69">
        <v>37097</v>
      </c>
      <c r="D23" s="54">
        <v>15973</v>
      </c>
      <c r="E23" s="24" t="s">
        <v>16</v>
      </c>
      <c r="F23" s="29">
        <v>789564.01</v>
      </c>
      <c r="G23" s="28">
        <f t="shared" si="0"/>
        <v>1.389092922555613E-3</v>
      </c>
    </row>
    <row r="24" spans="1:7" x14ac:dyDescent="0.2">
      <c r="A24" s="24">
        <v>2606</v>
      </c>
      <c r="B24" s="23" t="s">
        <v>0</v>
      </c>
      <c r="C24" s="69">
        <v>37097</v>
      </c>
      <c r="D24" s="54">
        <v>15918</v>
      </c>
      <c r="E24" s="24" t="s">
        <v>16</v>
      </c>
      <c r="F24" s="29">
        <v>2175341.4700000002</v>
      </c>
      <c r="G24" s="28">
        <f t="shared" si="0"/>
        <v>3.8271139538372874E-3</v>
      </c>
    </row>
    <row r="25" spans="1:7" x14ac:dyDescent="0.2">
      <c r="A25" s="24">
        <v>2606</v>
      </c>
      <c r="B25" s="23" t="s">
        <v>0</v>
      </c>
      <c r="C25" s="69">
        <v>37116</v>
      </c>
      <c r="D25" s="54">
        <v>16059</v>
      </c>
      <c r="E25" s="24" t="s">
        <v>16</v>
      </c>
      <c r="F25" s="29">
        <v>183772.95</v>
      </c>
      <c r="G25" s="28">
        <f t="shared" si="0"/>
        <v>3.2331476735137222E-4</v>
      </c>
    </row>
    <row r="26" spans="1:7" x14ac:dyDescent="0.2">
      <c r="A26" s="24">
        <v>1164</v>
      </c>
      <c r="B26" s="23" t="s">
        <v>181</v>
      </c>
      <c r="C26" s="69">
        <v>37097</v>
      </c>
      <c r="D26" s="54">
        <v>15954</v>
      </c>
      <c r="E26" s="24" t="s">
        <v>16</v>
      </c>
      <c r="F26" s="29">
        <v>5754</v>
      </c>
      <c r="G26" s="28">
        <f t="shared" si="0"/>
        <v>1.0123106645128109E-5</v>
      </c>
    </row>
    <row r="27" spans="1:7" x14ac:dyDescent="0.2">
      <c r="A27" s="24">
        <v>1504</v>
      </c>
      <c r="B27" s="23" t="s">
        <v>2</v>
      </c>
      <c r="C27" s="69">
        <v>37097</v>
      </c>
      <c r="D27" s="54">
        <v>15940</v>
      </c>
      <c r="E27" s="24" t="s">
        <v>16</v>
      </c>
      <c r="F27" s="29">
        <v>24028.63</v>
      </c>
      <c r="G27" s="28">
        <f t="shared" si="0"/>
        <v>4.2273963160640362E-5</v>
      </c>
    </row>
    <row r="28" spans="1:7" x14ac:dyDescent="0.2">
      <c r="A28" s="24">
        <v>1504</v>
      </c>
      <c r="B28" s="23" t="s">
        <v>2</v>
      </c>
      <c r="C28" s="69">
        <v>37116</v>
      </c>
      <c r="D28" s="54">
        <v>16081</v>
      </c>
      <c r="E28" s="24" t="s">
        <v>16</v>
      </c>
      <c r="F28" s="29">
        <v>728.62</v>
      </c>
      <c r="G28" s="28">
        <f t="shared" si="0"/>
        <v>1.2818731254385197E-6</v>
      </c>
    </row>
    <row r="29" spans="1:7" x14ac:dyDescent="0.2">
      <c r="A29" s="24">
        <v>1103</v>
      </c>
      <c r="B29" s="23" t="s">
        <v>24</v>
      </c>
      <c r="C29" s="69">
        <v>37116</v>
      </c>
      <c r="D29" s="54">
        <v>16099</v>
      </c>
      <c r="E29" s="24" t="s">
        <v>16</v>
      </c>
      <c r="F29" s="29">
        <v>246916.66</v>
      </c>
      <c r="G29" s="28">
        <f t="shared" si="0"/>
        <v>4.344045327839482E-4</v>
      </c>
    </row>
    <row r="30" spans="1:7" x14ac:dyDescent="0.2">
      <c r="A30" s="54">
        <v>2746</v>
      </c>
      <c r="B30" s="80" t="s">
        <v>60</v>
      </c>
      <c r="C30" s="69">
        <v>37097</v>
      </c>
      <c r="D30" s="54">
        <v>15912</v>
      </c>
      <c r="E30" s="24" t="s">
        <v>16</v>
      </c>
      <c r="F30" s="29">
        <v>174563.55</v>
      </c>
      <c r="G30" s="79">
        <f t="shared" si="0"/>
        <v>3.0711251876992574E-4</v>
      </c>
    </row>
    <row r="31" spans="1:7" x14ac:dyDescent="0.2">
      <c r="A31" s="54">
        <v>1017</v>
      </c>
      <c r="B31" s="80" t="s">
        <v>108</v>
      </c>
      <c r="C31" s="69">
        <v>37097</v>
      </c>
      <c r="D31" s="54">
        <v>15966</v>
      </c>
      <c r="E31" s="24" t="s">
        <v>16</v>
      </c>
      <c r="F31" s="29">
        <v>17134041.280000001</v>
      </c>
      <c r="G31" s="79">
        <f t="shared" si="0"/>
        <v>3.0144200058996758E-2</v>
      </c>
    </row>
    <row r="32" spans="1:7" x14ac:dyDescent="0.2">
      <c r="A32" s="54">
        <v>1017</v>
      </c>
      <c r="B32" s="80" t="s">
        <v>108</v>
      </c>
      <c r="C32" s="69">
        <v>37116</v>
      </c>
      <c r="D32" s="54">
        <v>16107</v>
      </c>
      <c r="E32" s="24" t="s">
        <v>16</v>
      </c>
      <c r="F32" s="29">
        <v>1142298.74</v>
      </c>
      <c r="G32" s="79">
        <f t="shared" si="0"/>
        <v>2.0096649227694589E-3</v>
      </c>
    </row>
    <row r="33" spans="1:7" x14ac:dyDescent="0.2">
      <c r="A33" s="24">
        <v>1544</v>
      </c>
      <c r="B33" s="23" t="s">
        <v>4</v>
      </c>
      <c r="C33" s="69">
        <v>37097</v>
      </c>
      <c r="D33" s="54">
        <v>15937</v>
      </c>
      <c r="E33" s="24" t="s">
        <v>16</v>
      </c>
      <c r="F33" s="29">
        <v>2379488.09</v>
      </c>
      <c r="G33" s="28">
        <f t="shared" si="0"/>
        <v>4.1862724532294388E-3</v>
      </c>
    </row>
    <row r="34" spans="1:7" x14ac:dyDescent="0.2">
      <c r="A34" s="24">
        <v>1544</v>
      </c>
      <c r="B34" s="23" t="s">
        <v>4</v>
      </c>
      <c r="C34" s="69">
        <v>37116</v>
      </c>
      <c r="D34" s="54">
        <v>16078</v>
      </c>
      <c r="E34" s="24" t="s">
        <v>16</v>
      </c>
      <c r="F34" s="29">
        <v>121739.8</v>
      </c>
      <c r="G34" s="28">
        <f t="shared" si="0"/>
        <v>2.1417882835532968E-4</v>
      </c>
    </row>
    <row r="35" spans="1:7" x14ac:dyDescent="0.2">
      <c r="A35" s="24">
        <v>1185</v>
      </c>
      <c r="B35" s="23" t="s">
        <v>91</v>
      </c>
      <c r="C35" s="69">
        <v>37097</v>
      </c>
      <c r="D35" s="54">
        <v>15951</v>
      </c>
      <c r="E35" s="24" t="s">
        <v>16</v>
      </c>
      <c r="F35" s="29">
        <v>127593.07</v>
      </c>
      <c r="G35" s="28">
        <f t="shared" si="0"/>
        <v>2.2447658234085784E-4</v>
      </c>
    </row>
    <row r="36" spans="1:7" x14ac:dyDescent="0.2">
      <c r="A36" s="24">
        <v>1005</v>
      </c>
      <c r="B36" s="23" t="s">
        <v>118</v>
      </c>
      <c r="C36" s="69">
        <v>37097</v>
      </c>
      <c r="D36" s="54">
        <v>15975</v>
      </c>
      <c r="E36" s="24" t="s">
        <v>16</v>
      </c>
      <c r="F36" s="29">
        <v>162.71</v>
      </c>
      <c r="G36" s="28">
        <f t="shared" si="0"/>
        <v>2.8625837369287358E-7</v>
      </c>
    </row>
    <row r="37" spans="1:7" x14ac:dyDescent="0.2">
      <c r="A37" s="24">
        <v>2769</v>
      </c>
      <c r="B37" s="23" t="s">
        <v>189</v>
      </c>
      <c r="C37" s="69">
        <v>37097</v>
      </c>
      <c r="D37" s="54">
        <v>15910</v>
      </c>
      <c r="E37" s="24" t="s">
        <v>16</v>
      </c>
      <c r="F37" s="29">
        <v>154882.82</v>
      </c>
      <c r="G37" s="28">
        <f t="shared" si="0"/>
        <v>2.7248788744493933E-4</v>
      </c>
    </row>
    <row r="38" spans="1:7" x14ac:dyDescent="0.2">
      <c r="A38" s="24">
        <v>3186</v>
      </c>
      <c r="B38" s="23" t="s">
        <v>37</v>
      </c>
      <c r="C38" s="69">
        <v>37097</v>
      </c>
      <c r="D38" s="54">
        <v>15898</v>
      </c>
      <c r="E38" s="24" t="s">
        <v>16</v>
      </c>
      <c r="F38" s="29">
        <v>12040135.130000001</v>
      </c>
      <c r="G38" s="28">
        <f t="shared" si="0"/>
        <v>2.1182407358836183E-2</v>
      </c>
    </row>
    <row r="39" spans="1:7" x14ac:dyDescent="0.2">
      <c r="A39" s="24">
        <v>3186</v>
      </c>
      <c r="B39" s="23" t="s">
        <v>37</v>
      </c>
      <c r="C39" s="69">
        <v>37116</v>
      </c>
      <c r="D39" s="54">
        <v>16039</v>
      </c>
      <c r="E39" s="24" t="s">
        <v>16</v>
      </c>
      <c r="F39" s="29">
        <v>969428.32</v>
      </c>
      <c r="G39" s="28">
        <f t="shared" si="0"/>
        <v>1.7055311553992663E-3</v>
      </c>
    </row>
    <row r="40" spans="1:7" x14ac:dyDescent="0.2">
      <c r="A40" s="24">
        <v>3187</v>
      </c>
      <c r="B40" s="23" t="s">
        <v>37</v>
      </c>
      <c r="C40" s="69">
        <v>37097</v>
      </c>
      <c r="D40" s="54">
        <v>15897</v>
      </c>
      <c r="E40" s="24" t="s">
        <v>16</v>
      </c>
      <c r="F40" s="29">
        <v>243608942.53</v>
      </c>
      <c r="G40" s="28">
        <f t="shared" si="0"/>
        <v>0.42858521114669357</v>
      </c>
    </row>
    <row r="41" spans="1:7" x14ac:dyDescent="0.2">
      <c r="A41" s="24">
        <v>1012</v>
      </c>
      <c r="B41" s="23" t="s">
        <v>88</v>
      </c>
      <c r="C41" s="69">
        <v>37097</v>
      </c>
      <c r="D41" s="54">
        <v>15969</v>
      </c>
      <c r="E41" s="24" t="s">
        <v>16</v>
      </c>
      <c r="F41" s="29">
        <f>85181.41-32249.38</f>
        <v>52932.03</v>
      </c>
      <c r="G41" s="28">
        <f t="shared" si="0"/>
        <v>9.3124189195884679E-5</v>
      </c>
    </row>
    <row r="42" spans="1:7" x14ac:dyDescent="0.2">
      <c r="A42" s="24">
        <v>2666</v>
      </c>
      <c r="B42" s="23" t="s">
        <v>182</v>
      </c>
      <c r="C42" s="69">
        <v>37097</v>
      </c>
      <c r="D42" s="54">
        <v>15915</v>
      </c>
      <c r="E42" s="24" t="s">
        <v>16</v>
      </c>
      <c r="F42" s="29">
        <v>10.02</v>
      </c>
      <c r="G42" s="28">
        <f t="shared" si="0"/>
        <v>1.7628350466490032E-8</v>
      </c>
    </row>
    <row r="43" spans="1:7" x14ac:dyDescent="0.2">
      <c r="A43" s="24">
        <v>2626</v>
      </c>
      <c r="B43" s="23" t="s">
        <v>6</v>
      </c>
      <c r="C43" s="69">
        <v>37097</v>
      </c>
      <c r="D43" s="54">
        <v>15917</v>
      </c>
      <c r="E43" s="24" t="s">
        <v>16</v>
      </c>
      <c r="F43" s="29">
        <f>28483.79-26.04</f>
        <v>28457.75</v>
      </c>
      <c r="G43" s="28">
        <f t="shared" si="0"/>
        <v>5.0066186675424825E-5</v>
      </c>
    </row>
    <row r="44" spans="1:7" x14ac:dyDescent="0.2">
      <c r="A44" s="24">
        <v>2528</v>
      </c>
      <c r="B44" s="23" t="s">
        <v>76</v>
      </c>
      <c r="C44" s="69">
        <v>37097</v>
      </c>
      <c r="D44" s="54">
        <v>15922</v>
      </c>
      <c r="E44" s="24" t="s">
        <v>16</v>
      </c>
      <c r="F44" s="29">
        <v>5187.76</v>
      </c>
      <c r="G44" s="28">
        <f t="shared" si="0"/>
        <v>9.1269113189659017E-6</v>
      </c>
    </row>
    <row r="45" spans="1:7" x14ac:dyDescent="0.2">
      <c r="A45" s="24">
        <v>1008</v>
      </c>
      <c r="B45" s="23" t="s">
        <v>7</v>
      </c>
      <c r="C45" s="69">
        <v>37097</v>
      </c>
      <c r="D45" s="54">
        <v>15972</v>
      </c>
      <c r="E45" s="24" t="s">
        <v>16</v>
      </c>
      <c r="F45" s="29">
        <v>2580.9899999999998</v>
      </c>
      <c r="G45" s="28">
        <f t="shared" si="0"/>
        <v>4.5407780709087936E-6</v>
      </c>
    </row>
    <row r="46" spans="1:7" s="21" customFormat="1" x14ac:dyDescent="0.2">
      <c r="A46" s="24">
        <v>1010</v>
      </c>
      <c r="B46" s="23" t="s">
        <v>61</v>
      </c>
      <c r="C46" s="69">
        <v>37097</v>
      </c>
      <c r="D46" s="54">
        <v>15971</v>
      </c>
      <c r="E46" s="24" t="s">
        <v>16</v>
      </c>
      <c r="F46" s="29">
        <v>275597626.93000001</v>
      </c>
      <c r="G46" s="28">
        <f t="shared" si="0"/>
        <v>0.48486342866816484</v>
      </c>
    </row>
    <row r="47" spans="1:7" s="21" customFormat="1" x14ac:dyDescent="0.2">
      <c r="A47" s="24">
        <v>1010</v>
      </c>
      <c r="B47" s="23" t="s">
        <v>61</v>
      </c>
      <c r="C47" s="69">
        <v>37116</v>
      </c>
      <c r="D47" s="54">
        <v>16112</v>
      </c>
      <c r="E47" s="24" t="s">
        <v>16</v>
      </c>
      <c r="F47" s="29">
        <v>7735653.8300000001</v>
      </c>
      <c r="G47" s="28">
        <f t="shared" si="0"/>
        <v>1.3609462754759074E-2</v>
      </c>
    </row>
    <row r="48" spans="1:7" s="21" customFormat="1" x14ac:dyDescent="0.2">
      <c r="A48" s="24">
        <v>2767</v>
      </c>
      <c r="B48" s="23" t="s">
        <v>9</v>
      </c>
      <c r="C48" s="69">
        <v>37097</v>
      </c>
      <c r="D48" s="54">
        <v>15911</v>
      </c>
      <c r="E48" s="24" t="s">
        <v>16</v>
      </c>
      <c r="F48" s="29">
        <v>121.08</v>
      </c>
      <c r="G48" s="28">
        <f t="shared" si="0"/>
        <v>2.1301803138549035E-7</v>
      </c>
    </row>
    <row r="49" spans="1:7" s="21" customFormat="1" x14ac:dyDescent="0.2">
      <c r="A49" s="24">
        <v>2767</v>
      </c>
      <c r="B49" s="23" t="s">
        <v>9</v>
      </c>
      <c r="C49" s="69">
        <v>37116</v>
      </c>
      <c r="D49" s="54">
        <v>16052</v>
      </c>
      <c r="E49" s="24" t="s">
        <v>16</v>
      </c>
      <c r="F49" s="29">
        <v>154.38</v>
      </c>
      <c r="G49" s="28">
        <f t="shared" si="0"/>
        <v>2.7160326796574167E-7</v>
      </c>
    </row>
    <row r="50" spans="1:7" x14ac:dyDescent="0.2">
      <c r="A50" s="24">
        <v>3207</v>
      </c>
      <c r="B50" s="23" t="s">
        <v>183</v>
      </c>
      <c r="C50" s="69">
        <v>37116</v>
      </c>
      <c r="D50" s="54">
        <v>16034</v>
      </c>
      <c r="E50" s="24" t="s">
        <v>16</v>
      </c>
      <c r="F50" s="55">
        <f>232692.9-8747.15</f>
        <v>223945.75</v>
      </c>
      <c r="G50" s="56">
        <f t="shared" si="0"/>
        <v>3.9399143378053499E-4</v>
      </c>
    </row>
    <row r="51" spans="1:7" x14ac:dyDescent="0.2">
      <c r="A51" s="7"/>
      <c r="B51" s="2"/>
      <c r="C51" s="9"/>
      <c r="D51" s="13"/>
      <c r="E51" s="13"/>
      <c r="F51" s="6"/>
      <c r="G51" s="21"/>
    </row>
    <row r="52" spans="1:7" ht="13.5" thickBot="1" x14ac:dyDescent="0.25">
      <c r="B52" s="1" t="s">
        <v>18</v>
      </c>
      <c r="F52" s="30">
        <f>SUM(F17:F51)</f>
        <v>568402586.45000005</v>
      </c>
      <c r="G52" s="20">
        <f>+F52/F52</f>
        <v>1</v>
      </c>
    </row>
    <row r="53" spans="1:7" ht="13.5" thickTop="1" x14ac:dyDescent="0.2">
      <c r="B53" s="1"/>
      <c r="F53" s="65"/>
      <c r="G53" s="58"/>
    </row>
    <row r="54" spans="1:7" x14ac:dyDescent="0.2">
      <c r="A54" s="19"/>
      <c r="B54" s="18"/>
      <c r="C54" s="73"/>
      <c r="D54" s="33"/>
      <c r="E54" s="19"/>
      <c r="F54" s="6"/>
      <c r="G54" s="57"/>
    </row>
    <row r="55" spans="1:7" x14ac:dyDescent="0.2">
      <c r="B55" s="82" t="s">
        <v>184</v>
      </c>
      <c r="C55" s="77"/>
    </row>
    <row r="57" spans="1:7" ht="15.75" x14ac:dyDescent="0.25">
      <c r="B57" s="10" t="str">
        <f>+B1</f>
        <v>Certification for Market Settlement September 28, 2001</v>
      </c>
    </row>
    <row r="58" spans="1:7" ht="15.75" x14ac:dyDescent="0.25">
      <c r="B58" s="10"/>
    </row>
    <row r="59" spans="1:7" ht="15.75" x14ac:dyDescent="0.25">
      <c r="B59" s="10" t="str">
        <f>+B3</f>
        <v>For the Trade Month of May 2001</v>
      </c>
    </row>
    <row r="60" spans="1:7" ht="15.75" x14ac:dyDescent="0.25">
      <c r="B60" s="10"/>
    </row>
    <row r="61" spans="1:7" ht="15.75" x14ac:dyDescent="0.25">
      <c r="B61" s="10"/>
    </row>
    <row r="62" spans="1:7" ht="15.75" x14ac:dyDescent="0.25">
      <c r="B62" s="10" t="s">
        <v>27</v>
      </c>
    </row>
    <row r="63" spans="1:7" ht="15.75" x14ac:dyDescent="0.25">
      <c r="B63" s="10"/>
    </row>
    <row r="64" spans="1:7" x14ac:dyDescent="0.2">
      <c r="B64" s="21" t="s">
        <v>26</v>
      </c>
      <c r="C64" s="32"/>
      <c r="D64" s="33"/>
      <c r="E64" s="33"/>
      <c r="F64" s="34">
        <v>629206074.5</v>
      </c>
      <c r="G64" s="61">
        <f>+F64/F66</f>
        <v>0.97471777732534515</v>
      </c>
    </row>
    <row r="65" spans="1:7" x14ac:dyDescent="0.2">
      <c r="B65" s="21" t="s">
        <v>28</v>
      </c>
      <c r="C65" s="32"/>
      <c r="D65" s="33"/>
      <c r="E65" s="33"/>
      <c r="F65" s="39">
        <v>16320342.619999999</v>
      </c>
      <c r="G65" s="61">
        <f>+F65/F66</f>
        <v>2.5282222674654898E-2</v>
      </c>
    </row>
    <row r="66" spans="1:7" x14ac:dyDescent="0.2">
      <c r="B66" s="35" t="s">
        <v>29</v>
      </c>
      <c r="C66" s="32"/>
      <c r="D66" s="33"/>
      <c r="E66" s="33"/>
      <c r="F66" s="39">
        <f>SUM(F64:F65)</f>
        <v>645526417.12</v>
      </c>
      <c r="G66" s="62">
        <f>+F66/F66</f>
        <v>1</v>
      </c>
    </row>
    <row r="67" spans="1:7" ht="15.75" x14ac:dyDescent="0.25">
      <c r="B67" s="10"/>
    </row>
    <row r="68" spans="1:7" x14ac:dyDescent="0.2">
      <c r="B68" s="21" t="s">
        <v>190</v>
      </c>
      <c r="C68" s="32"/>
      <c r="D68" s="33"/>
      <c r="E68" s="33"/>
      <c r="F68" s="6">
        <v>38626846.890000001</v>
      </c>
    </row>
    <row r="69" spans="1:7" x14ac:dyDescent="0.2">
      <c r="B69" s="21" t="s">
        <v>191</v>
      </c>
      <c r="C69" s="32"/>
      <c r="D69" s="33"/>
      <c r="E69" s="33"/>
      <c r="F69" s="6">
        <v>21768339.239999998</v>
      </c>
    </row>
    <row r="70" spans="1:7" x14ac:dyDescent="0.2">
      <c r="B70" s="21" t="s">
        <v>209</v>
      </c>
      <c r="C70" s="32"/>
      <c r="D70" s="33"/>
      <c r="E70" s="33"/>
      <c r="F70" s="39">
        <v>795036.39</v>
      </c>
    </row>
    <row r="71" spans="1:7" x14ac:dyDescent="0.2">
      <c r="B71" s="35" t="s">
        <v>33</v>
      </c>
      <c r="C71" s="32"/>
      <c r="D71" s="33"/>
      <c r="E71" s="33"/>
      <c r="F71" s="39">
        <f>SUM(F68:F70)</f>
        <v>61190222.519999996</v>
      </c>
      <c r="G71" s="62">
        <f>+F71/F66</f>
        <v>9.4791198155760453E-2</v>
      </c>
    </row>
    <row r="72" spans="1:7" ht="15.75" x14ac:dyDescent="0.25">
      <c r="B72" s="10"/>
    </row>
    <row r="73" spans="1:7" s="21" customFormat="1" x14ac:dyDescent="0.2">
      <c r="A73" s="32"/>
      <c r="B73" s="21" t="s">
        <v>143</v>
      </c>
      <c r="C73" s="32"/>
      <c r="D73" s="33"/>
      <c r="E73" s="33"/>
      <c r="F73" s="6">
        <v>11567.12</v>
      </c>
    </row>
    <row r="74" spans="1:7" s="21" customFormat="1" x14ac:dyDescent="0.2">
      <c r="A74" s="32"/>
      <c r="B74" s="21" t="s">
        <v>210</v>
      </c>
      <c r="C74" s="32"/>
      <c r="D74" s="33"/>
      <c r="E74" s="33"/>
      <c r="F74" s="6">
        <v>26.04</v>
      </c>
    </row>
    <row r="75" spans="1:7" s="21" customFormat="1" x14ac:dyDescent="0.2">
      <c r="A75" s="32"/>
      <c r="B75" s="21" t="s">
        <v>193</v>
      </c>
      <c r="C75" s="32"/>
      <c r="D75" s="33"/>
      <c r="E75" s="33"/>
      <c r="F75" s="6">
        <v>52237.34</v>
      </c>
    </row>
    <row r="76" spans="1:7" s="21" customFormat="1" x14ac:dyDescent="0.2">
      <c r="A76" s="32"/>
      <c r="B76" s="21" t="s">
        <v>178</v>
      </c>
      <c r="C76" s="32"/>
      <c r="D76" s="33"/>
      <c r="E76" s="33"/>
      <c r="F76" s="6">
        <v>2137665.4700000002</v>
      </c>
    </row>
    <row r="77" spans="1:7" s="21" customFormat="1" x14ac:dyDescent="0.2">
      <c r="A77" s="32"/>
      <c r="B77" s="21" t="s">
        <v>145</v>
      </c>
      <c r="C77" s="32"/>
      <c r="D77" s="33"/>
      <c r="E77" s="33"/>
      <c r="F77" s="6">
        <v>15208557.91</v>
      </c>
    </row>
    <row r="78" spans="1:7" s="21" customFormat="1" x14ac:dyDescent="0.2">
      <c r="A78" s="32"/>
      <c r="B78" s="21" t="s">
        <v>199</v>
      </c>
      <c r="C78" s="32"/>
      <c r="D78" s="33"/>
      <c r="E78" s="33"/>
      <c r="F78" s="39">
        <v>2000087.82</v>
      </c>
    </row>
    <row r="79" spans="1:7" x14ac:dyDescent="0.2">
      <c r="B79" s="1" t="s">
        <v>53</v>
      </c>
      <c r="F79" s="40">
        <f>SUM(F73:F78)</f>
        <v>19410141.699999999</v>
      </c>
      <c r="G79" s="62">
        <f>+F79/F66</f>
        <v>3.0068702357059007E-2</v>
      </c>
    </row>
    <row r="80" spans="1:7" x14ac:dyDescent="0.2">
      <c r="B80" s="1"/>
      <c r="F80" s="36"/>
      <c r="G80" s="62"/>
    </row>
    <row r="81" spans="1:7" s="21" customFormat="1" x14ac:dyDescent="0.2">
      <c r="A81" s="32"/>
      <c r="B81" s="21" t="s">
        <v>192</v>
      </c>
      <c r="C81" s="32"/>
      <c r="D81" s="33"/>
      <c r="E81" s="33"/>
      <c r="F81" s="39">
        <v>3476533.55</v>
      </c>
      <c r="G81" s="62">
        <f>+F81/F66</f>
        <v>5.3855790526907751E-3</v>
      </c>
    </row>
    <row r="82" spans="1:7" ht="15.75" x14ac:dyDescent="0.25">
      <c r="B82" s="10"/>
    </row>
    <row r="83" spans="1:7" ht="16.5" thickBot="1" x14ac:dyDescent="0.3">
      <c r="B83" s="44" t="s">
        <v>35</v>
      </c>
      <c r="C83" s="48"/>
      <c r="D83" s="49"/>
      <c r="E83" s="49"/>
      <c r="F83" s="50">
        <f>+F66-F71-F79+F81</f>
        <v>568402586.44999993</v>
      </c>
      <c r="G83" s="63">
        <f>+F83/F66</f>
        <v>0.88052567853987118</v>
      </c>
    </row>
    <row r="84" spans="1:7" ht="15.75" x14ac:dyDescent="0.25">
      <c r="B84" s="37"/>
      <c r="C84" s="32"/>
      <c r="D84" s="33"/>
      <c r="E84" s="33"/>
      <c r="F84" s="38"/>
    </row>
    <row r="85" spans="1:7" ht="15.75" x14ac:dyDescent="0.25">
      <c r="B85" s="10"/>
    </row>
    <row r="86" spans="1:7" ht="15.75" x14ac:dyDescent="0.25">
      <c r="B86" s="37" t="s">
        <v>34</v>
      </c>
      <c r="C86" s="32"/>
      <c r="D86" s="33"/>
      <c r="E86" s="33"/>
      <c r="F86" s="21"/>
    </row>
    <row r="87" spans="1:7" ht="15.75" x14ac:dyDescent="0.25">
      <c r="B87" s="37"/>
      <c r="C87" s="32"/>
      <c r="D87" s="33"/>
      <c r="E87" s="33"/>
      <c r="F87" s="21"/>
    </row>
    <row r="88" spans="1:7" s="21" customFormat="1" x14ac:dyDescent="0.2">
      <c r="A88" s="32"/>
      <c r="B88" s="21" t="s">
        <v>26</v>
      </c>
      <c r="C88" s="32"/>
      <c r="D88" s="33"/>
      <c r="E88" s="33"/>
      <c r="F88" s="34">
        <v>629486180.25</v>
      </c>
      <c r="G88" s="64">
        <f>+F88/F90</f>
        <v>0.97472689721298678</v>
      </c>
    </row>
    <row r="89" spans="1:7" x14ac:dyDescent="0.2">
      <c r="B89" s="21" t="s">
        <v>28</v>
      </c>
      <c r="C89" s="32"/>
      <c r="D89" s="33"/>
      <c r="E89" s="33"/>
      <c r="F89" s="39">
        <v>16321565.539999999</v>
      </c>
      <c r="G89" s="64">
        <f>+F89/F90</f>
        <v>2.5273102787013259E-2</v>
      </c>
    </row>
    <row r="90" spans="1:7" x14ac:dyDescent="0.2">
      <c r="B90" s="35" t="s">
        <v>29</v>
      </c>
      <c r="C90" s="32"/>
      <c r="D90" s="33"/>
      <c r="E90" s="33"/>
      <c r="F90" s="39">
        <f>SUM(F88:F89)</f>
        <v>645807745.78999996</v>
      </c>
      <c r="G90" s="62">
        <f>+F90/F90</f>
        <v>1</v>
      </c>
    </row>
    <row r="91" spans="1:7" ht="15.75" x14ac:dyDescent="0.25">
      <c r="B91" s="10"/>
    </row>
    <row r="92" spans="1:7" x14ac:dyDescent="0.2">
      <c r="B92" s="21" t="s">
        <v>175</v>
      </c>
      <c r="F92" s="6">
        <v>57029735.530000001</v>
      </c>
    </row>
    <row r="93" spans="1:7" x14ac:dyDescent="0.2">
      <c r="B93" s="21" t="s">
        <v>203</v>
      </c>
      <c r="C93" s="32"/>
      <c r="D93" s="33"/>
      <c r="E93" s="33"/>
      <c r="F93" s="39">
        <v>1981016.92</v>
      </c>
    </row>
    <row r="94" spans="1:7" x14ac:dyDescent="0.2">
      <c r="B94" s="35" t="s">
        <v>41</v>
      </c>
      <c r="C94" s="32"/>
      <c r="D94" s="33"/>
      <c r="E94" s="33"/>
      <c r="F94" s="39">
        <f>SUM(F92:F93)</f>
        <v>59010752.450000003</v>
      </c>
      <c r="G94" s="62">
        <f>+F94/F90</f>
        <v>9.137510789347017E-2</v>
      </c>
    </row>
    <row r="95" spans="1:7" ht="15.75" x14ac:dyDescent="0.25">
      <c r="B95" s="10"/>
    </row>
    <row r="96" spans="1:7" x14ac:dyDescent="0.2">
      <c r="B96" s="21" t="s">
        <v>207</v>
      </c>
      <c r="C96" s="32"/>
      <c r="D96" s="33"/>
      <c r="E96" s="33"/>
      <c r="F96" s="36">
        <v>1350922.63</v>
      </c>
    </row>
    <row r="97" spans="2:7" x14ac:dyDescent="0.2">
      <c r="B97" s="21" t="s">
        <v>159</v>
      </c>
      <c r="C97" s="32"/>
      <c r="D97" s="33"/>
      <c r="E97" s="33"/>
      <c r="F97" s="36">
        <f>13796.62+470.09</f>
        <v>14266.710000000001</v>
      </c>
    </row>
    <row r="98" spans="2:7" x14ac:dyDescent="0.2">
      <c r="B98" s="21" t="s">
        <v>142</v>
      </c>
      <c r="C98" s="32"/>
      <c r="D98" s="33"/>
      <c r="E98" s="33"/>
      <c r="F98" s="36">
        <f>1006.04+56</f>
        <v>1062.04</v>
      </c>
    </row>
    <row r="99" spans="2:7" x14ac:dyDescent="0.2">
      <c r="B99" s="21" t="s">
        <v>168</v>
      </c>
      <c r="C99" s="32"/>
      <c r="D99" s="33"/>
      <c r="E99" s="33"/>
      <c r="F99" s="36">
        <f>1256.42+7622.67+821.53</f>
        <v>9700.6200000000008</v>
      </c>
    </row>
    <row r="100" spans="2:7" x14ac:dyDescent="0.2">
      <c r="B100" s="21" t="s">
        <v>163</v>
      </c>
      <c r="C100" s="32"/>
      <c r="D100" s="33"/>
      <c r="E100" s="33"/>
      <c r="F100" s="36">
        <f>169976.54+9221.99</f>
        <v>179198.53</v>
      </c>
    </row>
    <row r="101" spans="2:7" x14ac:dyDescent="0.2">
      <c r="B101" s="21" t="s">
        <v>178</v>
      </c>
      <c r="C101" s="32"/>
      <c r="D101" s="33"/>
      <c r="E101" s="33"/>
      <c r="F101" s="36">
        <v>101935.48</v>
      </c>
    </row>
    <row r="102" spans="2:7" x14ac:dyDescent="0.2">
      <c r="B102" s="21" t="s">
        <v>145</v>
      </c>
      <c r="C102" s="32"/>
      <c r="D102" s="33"/>
      <c r="E102" s="33"/>
      <c r="F102" s="36">
        <v>15207497.130000001</v>
      </c>
    </row>
    <row r="103" spans="2:7" x14ac:dyDescent="0.2">
      <c r="B103" s="21" t="s">
        <v>205</v>
      </c>
      <c r="C103" s="32"/>
      <c r="D103" s="33"/>
      <c r="E103" s="33"/>
      <c r="F103" s="40">
        <v>79.7</v>
      </c>
    </row>
    <row r="104" spans="2:7" x14ac:dyDescent="0.2">
      <c r="B104" s="1" t="s">
        <v>53</v>
      </c>
      <c r="C104" s="32"/>
      <c r="D104" s="33"/>
      <c r="E104" s="33"/>
      <c r="F104" s="40">
        <f>SUM(F96:F103)</f>
        <v>16864662.84</v>
      </c>
      <c r="G104" s="62">
        <f>+F104/F90</f>
        <v>2.6114060956902729E-2</v>
      </c>
    </row>
    <row r="105" spans="2:7" ht="15.75" x14ac:dyDescent="0.25">
      <c r="B105" s="10"/>
    </row>
    <row r="106" spans="2:7" ht="16.5" thickBot="1" x14ac:dyDescent="0.3">
      <c r="B106" s="44" t="s">
        <v>36</v>
      </c>
      <c r="C106" s="48"/>
      <c r="D106" s="49"/>
      <c r="E106" s="49"/>
      <c r="F106" s="50">
        <f>+F90-F94-F104</f>
        <v>569932330.49999988</v>
      </c>
      <c r="G106" s="63">
        <f>+F106/F90</f>
        <v>0.88251083114962703</v>
      </c>
    </row>
    <row r="107" spans="2:7" ht="15.75" x14ac:dyDescent="0.25">
      <c r="B107" s="10"/>
    </row>
    <row r="108" spans="2:7" ht="15.75" x14ac:dyDescent="0.25">
      <c r="B108" s="37" t="s">
        <v>99</v>
      </c>
      <c r="C108" s="32"/>
      <c r="D108" s="33"/>
      <c r="E108" s="33"/>
    </row>
    <row r="109" spans="2:7" ht="15.75" x14ac:dyDescent="0.25">
      <c r="B109" s="37"/>
      <c r="C109" s="32"/>
      <c r="D109" s="33"/>
      <c r="E109" s="33"/>
    </row>
    <row r="110" spans="2:7" x14ac:dyDescent="0.2">
      <c r="B110" s="71" t="s">
        <v>100</v>
      </c>
      <c r="C110" s="32"/>
      <c r="D110" s="33"/>
      <c r="E110" s="33"/>
      <c r="F110" s="74">
        <f>+F111</f>
        <v>1529744.0499999523</v>
      </c>
    </row>
    <row r="111" spans="2:7" ht="16.5" thickBot="1" x14ac:dyDescent="0.3">
      <c r="B111" s="37" t="s">
        <v>98</v>
      </c>
      <c r="F111" s="72">
        <f>+F106-F83</f>
        <v>1529744.0499999523</v>
      </c>
    </row>
    <row r="112" spans="2:7" ht="13.5" thickTop="1" x14ac:dyDescent="0.2"/>
  </sheetData>
  <phoneticPr fontId="0" type="noConversion"/>
  <pageMargins left="0.5" right="0.25" top="0.5" bottom="0.5" header="0.5" footer="0"/>
  <pageSetup scale="87" orientation="portrait" r:id="rId1"/>
  <headerFooter alignWithMargins="0">
    <oddFooter>&amp;LCertification September 28, 2001&amp;CPage &amp;P of &amp;N&amp;RTrade Month May 2001</oddFooter>
  </headerFooter>
  <rowBreaks count="1" manualBreakCount="1">
    <brk id="55"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112"/>
  <sheetViews>
    <sheetView topLeftCell="A32" zoomScaleNormal="100" workbookViewId="0">
      <selection activeCell="I38" sqref="I38"/>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22.7109375" bestFit="1" customWidth="1"/>
    <col min="7" max="7" width="12.42578125" bestFit="1" customWidth="1"/>
  </cols>
  <sheetData>
    <row r="1" spans="1:7" ht="15.75" x14ac:dyDescent="0.25">
      <c r="B1" s="53" t="s">
        <v>195</v>
      </c>
    </row>
    <row r="2" spans="1:7" ht="15.75" x14ac:dyDescent="0.25">
      <c r="B2" s="10"/>
    </row>
    <row r="3" spans="1:7" ht="15.75" x14ac:dyDescent="0.25">
      <c r="B3" s="10" t="s">
        <v>211</v>
      </c>
    </row>
    <row r="4" spans="1:7" ht="15.75" x14ac:dyDescent="0.25">
      <c r="B4" s="10"/>
    </row>
    <row r="5" spans="1:7" ht="15.75" x14ac:dyDescent="0.25">
      <c r="B5" s="10"/>
    </row>
    <row r="6" spans="1:7" ht="16.5" thickBot="1" x14ac:dyDescent="0.3">
      <c r="A6" s="10" t="s">
        <v>56</v>
      </c>
    </row>
    <row r="7" spans="1:7" s="5" customFormat="1" ht="24" thickTop="1" thickBot="1" x14ac:dyDescent="0.25">
      <c r="A7" s="15" t="s">
        <v>11</v>
      </c>
      <c r="B7" s="15" t="s">
        <v>13</v>
      </c>
      <c r="C7" s="15" t="s">
        <v>50</v>
      </c>
      <c r="D7" s="45"/>
      <c r="E7" s="46"/>
      <c r="F7" s="47" t="s">
        <v>51</v>
      </c>
      <c r="G7" s="16" t="s">
        <v>52</v>
      </c>
    </row>
    <row r="8" spans="1:7" s="3" customFormat="1" ht="12" thickTop="1" x14ac:dyDescent="0.2">
      <c r="F8" s="4"/>
    </row>
    <row r="9" spans="1:7" s="1" customFormat="1" ht="13.5" thickBot="1" x14ac:dyDescent="0.25">
      <c r="A9" s="11"/>
      <c r="B9" s="1" t="s">
        <v>212</v>
      </c>
      <c r="C9" s="86">
        <v>37043</v>
      </c>
      <c r="D9" s="14"/>
      <c r="E9" s="14"/>
      <c r="F9" s="30">
        <v>181371476.72999999</v>
      </c>
      <c r="G9" s="20">
        <f>+F9/F$9</f>
        <v>1</v>
      </c>
    </row>
    <row r="10" spans="1:7" s="1" customFormat="1" ht="13.5" thickTop="1" x14ac:dyDescent="0.2">
      <c r="A10" s="11"/>
      <c r="C10" s="75"/>
      <c r="D10" s="14"/>
      <c r="E10" s="14"/>
      <c r="F10" s="65"/>
      <c r="G10" s="58"/>
    </row>
    <row r="11" spans="1:7" s="1" customFormat="1" x14ac:dyDescent="0.2">
      <c r="A11" s="11"/>
      <c r="C11" s="75"/>
      <c r="D11" s="14"/>
      <c r="E11" s="14"/>
      <c r="F11" s="65"/>
      <c r="G11" s="58"/>
    </row>
    <row r="12" spans="1:7" ht="15.75" x14ac:dyDescent="0.25">
      <c r="A12" s="10" t="s">
        <v>48</v>
      </c>
      <c r="C12" s="77"/>
    </row>
    <row r="13" spans="1:7" ht="16.5" thickBot="1" x14ac:dyDescent="0.3">
      <c r="A13" s="10" t="s">
        <v>90</v>
      </c>
      <c r="C13" s="77"/>
    </row>
    <row r="14" spans="1:7" s="5" customFormat="1" ht="24" thickTop="1" thickBot="1" x14ac:dyDescent="0.25">
      <c r="A14" s="15" t="s">
        <v>11</v>
      </c>
      <c r="B14" s="15" t="s">
        <v>13</v>
      </c>
      <c r="C14" s="78" t="s">
        <v>12</v>
      </c>
      <c r="D14" s="15" t="s">
        <v>17</v>
      </c>
      <c r="E14" s="15" t="s">
        <v>15</v>
      </c>
      <c r="F14" s="16" t="s">
        <v>10</v>
      </c>
      <c r="G14" s="16" t="s">
        <v>55</v>
      </c>
    </row>
    <row r="15" spans="1:7" ht="13.5" thickTop="1" x14ac:dyDescent="0.2">
      <c r="C15" s="77"/>
    </row>
    <row r="16" spans="1:7" x14ac:dyDescent="0.2">
      <c r="A16" s="24">
        <v>1924</v>
      </c>
      <c r="B16" s="23" t="s">
        <v>213</v>
      </c>
      <c r="C16" s="69">
        <v>37126</v>
      </c>
      <c r="D16" s="54">
        <v>16208</v>
      </c>
      <c r="E16" s="24" t="s">
        <v>77</v>
      </c>
      <c r="F16" s="29">
        <v>2068.06</v>
      </c>
      <c r="G16" s="28">
        <f t="shared" ref="G16:G56" si="0">+F16/$F$58</f>
        <v>8.0489548147373643E-6</v>
      </c>
    </row>
    <row r="17" spans="1:7" x14ac:dyDescent="0.2">
      <c r="A17" s="24">
        <v>1007</v>
      </c>
      <c r="B17" s="23" t="s">
        <v>58</v>
      </c>
      <c r="C17" s="69">
        <v>37126</v>
      </c>
      <c r="D17" s="54">
        <v>16233</v>
      </c>
      <c r="E17" s="24" t="s">
        <v>77</v>
      </c>
      <c r="F17" s="29">
        <v>33285.910000000003</v>
      </c>
      <c r="G17" s="28">
        <f t="shared" si="0"/>
        <v>1.2954981265408868E-4</v>
      </c>
    </row>
    <row r="18" spans="1:7" x14ac:dyDescent="0.2">
      <c r="A18" s="24">
        <v>2606</v>
      </c>
      <c r="B18" s="23" t="s">
        <v>0</v>
      </c>
      <c r="C18" s="69">
        <v>37126</v>
      </c>
      <c r="D18" s="54">
        <v>16196</v>
      </c>
      <c r="E18" s="24" t="s">
        <v>77</v>
      </c>
      <c r="F18" s="29">
        <v>113422.38</v>
      </c>
      <c r="G18" s="28">
        <f t="shared" si="0"/>
        <v>4.4144348403816667E-4</v>
      </c>
    </row>
    <row r="19" spans="1:7" x14ac:dyDescent="0.2">
      <c r="A19" s="24">
        <v>1584</v>
      </c>
      <c r="B19" s="23" t="s">
        <v>1</v>
      </c>
      <c r="C19" s="69">
        <v>37126</v>
      </c>
      <c r="D19" s="54">
        <v>16213</v>
      </c>
      <c r="E19" s="24" t="s">
        <v>77</v>
      </c>
      <c r="F19" s="29">
        <v>76478.14</v>
      </c>
      <c r="G19" s="28">
        <f t="shared" si="0"/>
        <v>2.9765533551983899E-4</v>
      </c>
    </row>
    <row r="20" spans="1:7" x14ac:dyDescent="0.2">
      <c r="A20" s="24">
        <v>2746</v>
      </c>
      <c r="B20" s="23" t="s">
        <v>60</v>
      </c>
      <c r="C20" s="69">
        <v>37126</v>
      </c>
      <c r="D20" s="54">
        <v>16194</v>
      </c>
      <c r="E20" s="24" t="s">
        <v>77</v>
      </c>
      <c r="F20" s="29">
        <v>659.91</v>
      </c>
      <c r="G20" s="28">
        <f t="shared" si="0"/>
        <v>2.5683905552998141E-6</v>
      </c>
    </row>
    <row r="21" spans="1:7" x14ac:dyDescent="0.2">
      <c r="A21" s="24">
        <v>1544</v>
      </c>
      <c r="B21" s="23" t="s">
        <v>4</v>
      </c>
      <c r="C21" s="69">
        <v>37126</v>
      </c>
      <c r="D21" s="54">
        <v>16212</v>
      </c>
      <c r="E21" s="24" t="s">
        <v>77</v>
      </c>
      <c r="F21" s="29">
        <v>110374.06</v>
      </c>
      <c r="G21" s="28">
        <f t="shared" si="0"/>
        <v>4.2957932635373768E-4</v>
      </c>
    </row>
    <row r="22" spans="1:7" x14ac:dyDescent="0.2">
      <c r="A22" s="24">
        <v>2528</v>
      </c>
      <c r="B22" s="23" t="s">
        <v>76</v>
      </c>
      <c r="C22" s="69">
        <v>37126</v>
      </c>
      <c r="D22" s="54">
        <v>16199</v>
      </c>
      <c r="E22" s="24" t="s">
        <v>77</v>
      </c>
      <c r="F22" s="29">
        <v>145772.65</v>
      </c>
      <c r="G22" s="28">
        <f t="shared" si="0"/>
        <v>5.6735175627134829E-4</v>
      </c>
    </row>
    <row r="23" spans="1:7" x14ac:dyDescent="0.2">
      <c r="A23" s="24">
        <v>1010</v>
      </c>
      <c r="B23" s="23" t="s">
        <v>61</v>
      </c>
      <c r="C23" s="69">
        <v>37126</v>
      </c>
      <c r="D23" s="54">
        <v>16232</v>
      </c>
      <c r="E23" s="24" t="s">
        <v>77</v>
      </c>
      <c r="F23" s="29">
        <v>2501980.59</v>
      </c>
      <c r="G23" s="28">
        <f t="shared" si="0"/>
        <v>9.7377874511667597E-3</v>
      </c>
    </row>
    <row r="24" spans="1:7" x14ac:dyDescent="0.2">
      <c r="A24" s="24">
        <v>1924</v>
      </c>
      <c r="B24" s="23" t="s">
        <v>213</v>
      </c>
      <c r="C24" s="69">
        <v>37126</v>
      </c>
      <c r="D24" s="54">
        <v>16280</v>
      </c>
      <c r="E24" s="24" t="s">
        <v>16</v>
      </c>
      <c r="F24" s="29">
        <v>10360.18</v>
      </c>
      <c r="G24" s="28">
        <f t="shared" si="0"/>
        <v>4.0322147661356901E-5</v>
      </c>
    </row>
    <row r="25" spans="1:7" x14ac:dyDescent="0.2">
      <c r="A25" s="24">
        <v>1924</v>
      </c>
      <c r="B25" s="23" t="s">
        <v>213</v>
      </c>
      <c r="C25" s="69">
        <v>37146</v>
      </c>
      <c r="D25" s="54">
        <v>16253</v>
      </c>
      <c r="E25" s="24" t="s">
        <v>16</v>
      </c>
      <c r="F25" s="29">
        <v>8117.74</v>
      </c>
      <c r="G25" s="28">
        <f t="shared" si="0"/>
        <v>3.1594500380929999E-5</v>
      </c>
    </row>
    <row r="26" spans="1:7" x14ac:dyDescent="0.2">
      <c r="A26" s="24">
        <v>1007</v>
      </c>
      <c r="B26" s="23" t="s">
        <v>58</v>
      </c>
      <c r="C26" s="69">
        <v>37126</v>
      </c>
      <c r="D26" s="54">
        <v>16316</v>
      </c>
      <c r="E26" s="24" t="s">
        <v>16</v>
      </c>
      <c r="F26" s="29">
        <v>1351954.93</v>
      </c>
      <c r="G26" s="28">
        <f t="shared" si="0"/>
        <v>5.2618512727538929E-3</v>
      </c>
    </row>
    <row r="27" spans="1:7" x14ac:dyDescent="0.2">
      <c r="A27" s="24">
        <v>1007</v>
      </c>
      <c r="B27" s="23" t="s">
        <v>58</v>
      </c>
      <c r="C27" s="69">
        <v>37146</v>
      </c>
      <c r="D27" s="54">
        <v>16560</v>
      </c>
      <c r="E27" s="24" t="s">
        <v>16</v>
      </c>
      <c r="F27" s="29">
        <v>10312.61</v>
      </c>
      <c r="G27" s="28">
        <f t="shared" si="0"/>
        <v>4.0137003719432076E-5</v>
      </c>
    </row>
    <row r="28" spans="1:7" x14ac:dyDescent="0.2">
      <c r="A28" s="24">
        <v>2606</v>
      </c>
      <c r="B28" s="23" t="s">
        <v>0</v>
      </c>
      <c r="C28" s="69">
        <v>37126</v>
      </c>
      <c r="D28" s="54">
        <v>16266</v>
      </c>
      <c r="E28" s="24" t="s">
        <v>16</v>
      </c>
      <c r="F28" s="29">
        <v>1071214.5</v>
      </c>
      <c r="G28" s="28">
        <f t="shared" si="0"/>
        <v>4.169200655392725E-3</v>
      </c>
    </row>
    <row r="29" spans="1:7" x14ac:dyDescent="0.2">
      <c r="A29" s="24">
        <v>1243</v>
      </c>
      <c r="B29" s="23" t="s">
        <v>14</v>
      </c>
      <c r="C29" s="69">
        <v>37126</v>
      </c>
      <c r="D29" s="54">
        <v>16292</v>
      </c>
      <c r="E29" s="24" t="s">
        <v>16</v>
      </c>
      <c r="F29" s="29">
        <v>54920135.43</v>
      </c>
      <c r="G29" s="28">
        <f t="shared" si="0"/>
        <v>0.2137509010837822</v>
      </c>
    </row>
    <row r="30" spans="1:7" x14ac:dyDescent="0.2">
      <c r="A30" s="24">
        <v>1243</v>
      </c>
      <c r="B30" s="23" t="s">
        <v>14</v>
      </c>
      <c r="C30" s="69">
        <v>37146</v>
      </c>
      <c r="D30" s="54">
        <v>16535</v>
      </c>
      <c r="E30" s="24" t="s">
        <v>16</v>
      </c>
      <c r="F30" s="29">
        <v>4268</v>
      </c>
      <c r="G30" s="28">
        <f t="shared" si="0"/>
        <v>1.6611190753314251E-5</v>
      </c>
    </row>
    <row r="31" spans="1:7" x14ac:dyDescent="0.2">
      <c r="A31" s="24">
        <v>1019</v>
      </c>
      <c r="B31" s="23" t="s">
        <v>59</v>
      </c>
      <c r="C31" s="69">
        <v>37126</v>
      </c>
      <c r="D31" s="54">
        <v>16307</v>
      </c>
      <c r="E31" s="24" t="s">
        <v>16</v>
      </c>
      <c r="F31" s="29">
        <v>17276.580000000002</v>
      </c>
      <c r="G31" s="28">
        <f t="shared" si="0"/>
        <v>6.7240994832449384E-5</v>
      </c>
    </row>
    <row r="32" spans="1:7" x14ac:dyDescent="0.2">
      <c r="A32" s="24">
        <v>1164</v>
      </c>
      <c r="B32" s="23" t="s">
        <v>214</v>
      </c>
      <c r="C32" s="69">
        <v>37146</v>
      </c>
      <c r="D32" s="54">
        <v>16541</v>
      </c>
      <c r="E32" s="24" t="s">
        <v>16</v>
      </c>
      <c r="F32" s="29">
        <v>39.65</v>
      </c>
      <c r="G32" s="28">
        <f t="shared" si="0"/>
        <v>1.543190518671298E-7</v>
      </c>
    </row>
    <row r="33" spans="1:7" x14ac:dyDescent="0.2">
      <c r="A33" s="24">
        <v>1504</v>
      </c>
      <c r="B33" s="23" t="s">
        <v>2</v>
      </c>
      <c r="C33" s="69">
        <v>37126</v>
      </c>
      <c r="D33" s="54">
        <v>16287</v>
      </c>
      <c r="E33" s="24" t="s">
        <v>16</v>
      </c>
      <c r="F33" s="29">
        <v>4247.95</v>
      </c>
      <c r="G33" s="28">
        <f t="shared" si="0"/>
        <v>1.6533155520276774E-5</v>
      </c>
    </row>
    <row r="34" spans="1:7" x14ac:dyDescent="0.2">
      <c r="A34" s="24">
        <v>1504</v>
      </c>
      <c r="B34" s="23" t="s">
        <v>2</v>
      </c>
      <c r="C34" s="69">
        <v>37146</v>
      </c>
      <c r="D34" s="54">
        <v>16530</v>
      </c>
      <c r="E34" s="24" t="s">
        <v>16</v>
      </c>
      <c r="F34" s="29">
        <v>1753.88</v>
      </c>
      <c r="G34" s="28">
        <f t="shared" si="0"/>
        <v>6.8261563351506097E-6</v>
      </c>
    </row>
    <row r="35" spans="1:7" x14ac:dyDescent="0.2">
      <c r="A35" s="54">
        <v>2746</v>
      </c>
      <c r="B35" s="80" t="s">
        <v>60</v>
      </c>
      <c r="C35" s="69">
        <v>37126</v>
      </c>
      <c r="D35" s="54">
        <v>16261</v>
      </c>
      <c r="E35" s="24" t="s">
        <v>16</v>
      </c>
      <c r="F35" s="29">
        <v>13485.93</v>
      </c>
      <c r="G35" s="79">
        <f t="shared" si="0"/>
        <v>5.248766535047874E-5</v>
      </c>
    </row>
    <row r="36" spans="1:7" x14ac:dyDescent="0.2">
      <c r="A36" s="54">
        <v>2746</v>
      </c>
      <c r="B36" s="80" t="s">
        <v>60</v>
      </c>
      <c r="C36" s="69">
        <v>37146</v>
      </c>
      <c r="D36" s="54">
        <v>16502</v>
      </c>
      <c r="E36" s="24" t="s">
        <v>16</v>
      </c>
      <c r="F36" s="29">
        <v>813.31</v>
      </c>
      <c r="G36" s="79">
        <f t="shared" si="0"/>
        <v>3.165428198589038E-6</v>
      </c>
    </row>
    <row r="37" spans="1:7" x14ac:dyDescent="0.2">
      <c r="A37" s="54">
        <v>2405</v>
      </c>
      <c r="B37" s="80" t="s">
        <v>3</v>
      </c>
      <c r="C37" s="69">
        <v>37126</v>
      </c>
      <c r="D37" s="54">
        <v>16274</v>
      </c>
      <c r="E37" s="24" t="s">
        <v>16</v>
      </c>
      <c r="F37" s="29">
        <v>1740511.46</v>
      </c>
      <c r="G37" s="79">
        <f t="shared" si="0"/>
        <v>6.7741255553864779E-3</v>
      </c>
    </row>
    <row r="38" spans="1:7" x14ac:dyDescent="0.2">
      <c r="A38" s="54">
        <v>2064</v>
      </c>
      <c r="B38" s="80" t="s">
        <v>215</v>
      </c>
      <c r="C38" s="69">
        <v>37146</v>
      </c>
      <c r="D38" s="54">
        <v>16522</v>
      </c>
      <c r="E38" s="24" t="s">
        <v>16</v>
      </c>
      <c r="F38" s="29">
        <v>766.44</v>
      </c>
      <c r="G38" s="79">
        <f t="shared" si="0"/>
        <v>2.983008678765271E-6</v>
      </c>
    </row>
    <row r="39" spans="1:7" x14ac:dyDescent="0.2">
      <c r="A39" s="24">
        <v>1544</v>
      </c>
      <c r="B39" s="23" t="s">
        <v>4</v>
      </c>
      <c r="C39" s="69">
        <v>37126</v>
      </c>
      <c r="D39" s="54">
        <v>16284</v>
      </c>
      <c r="E39" s="24" t="s">
        <v>16</v>
      </c>
      <c r="F39" s="29">
        <v>472343.08</v>
      </c>
      <c r="G39" s="28">
        <f t="shared" si="0"/>
        <v>1.8383741806204251E-3</v>
      </c>
    </row>
    <row r="40" spans="1:7" x14ac:dyDescent="0.2">
      <c r="A40" s="24">
        <v>1544</v>
      </c>
      <c r="B40" s="23" t="s">
        <v>4</v>
      </c>
      <c r="C40" s="69">
        <v>37146</v>
      </c>
      <c r="D40" s="54">
        <v>16527</v>
      </c>
      <c r="E40" s="24" t="s">
        <v>16</v>
      </c>
      <c r="F40" s="29">
        <v>141425.79</v>
      </c>
      <c r="G40" s="28">
        <f t="shared" si="0"/>
        <v>5.5043363990819199E-4</v>
      </c>
    </row>
    <row r="41" spans="1:7" x14ac:dyDescent="0.2">
      <c r="A41" s="24">
        <v>1185</v>
      </c>
      <c r="B41" s="23" t="s">
        <v>91</v>
      </c>
      <c r="C41" s="69">
        <v>37126</v>
      </c>
      <c r="D41" s="54">
        <v>16295</v>
      </c>
      <c r="E41" s="24" t="s">
        <v>16</v>
      </c>
      <c r="F41" s="29">
        <v>320042.95</v>
      </c>
      <c r="G41" s="28">
        <f t="shared" si="0"/>
        <v>1.2456172660973326E-3</v>
      </c>
    </row>
    <row r="42" spans="1:7" x14ac:dyDescent="0.2">
      <c r="A42" s="24">
        <v>1185</v>
      </c>
      <c r="B42" s="23" t="s">
        <v>91</v>
      </c>
      <c r="C42" s="69">
        <v>37146</v>
      </c>
      <c r="D42" s="54">
        <v>16538</v>
      </c>
      <c r="E42" s="24" t="s">
        <v>16</v>
      </c>
      <c r="F42" s="29">
        <v>1177.1500000000001</v>
      </c>
      <c r="G42" s="28">
        <f t="shared" si="0"/>
        <v>4.5815049660880674E-6</v>
      </c>
    </row>
    <row r="43" spans="1:7" x14ac:dyDescent="0.2">
      <c r="A43" s="24">
        <v>1005</v>
      </c>
      <c r="B43" s="23" t="s">
        <v>118</v>
      </c>
      <c r="C43" s="69">
        <v>37146</v>
      </c>
      <c r="D43" s="54">
        <v>16562</v>
      </c>
      <c r="E43" s="24" t="s">
        <v>16</v>
      </c>
      <c r="F43" s="29">
        <v>154.02000000000001</v>
      </c>
      <c r="G43" s="28">
        <f t="shared" si="0"/>
        <v>5.9945070286444735E-7</v>
      </c>
    </row>
    <row r="44" spans="1:7" x14ac:dyDescent="0.2">
      <c r="A44" s="24">
        <v>2769</v>
      </c>
      <c r="B44" s="23" t="s">
        <v>189</v>
      </c>
      <c r="C44" s="69">
        <v>37126</v>
      </c>
      <c r="D44" s="54">
        <v>16259</v>
      </c>
      <c r="E44" s="24" t="s">
        <v>16</v>
      </c>
      <c r="F44" s="29">
        <v>11581848.51</v>
      </c>
      <c r="G44" s="28">
        <f t="shared" si="0"/>
        <v>4.5076920073945273E-2</v>
      </c>
    </row>
    <row r="45" spans="1:7" x14ac:dyDescent="0.2">
      <c r="A45" s="24">
        <v>2769</v>
      </c>
      <c r="B45" s="23" t="s">
        <v>189</v>
      </c>
      <c r="C45" s="69">
        <v>37146</v>
      </c>
      <c r="D45" s="54">
        <v>16500</v>
      </c>
      <c r="E45" s="24" t="s">
        <v>16</v>
      </c>
      <c r="F45" s="29">
        <v>1098.26</v>
      </c>
      <c r="G45" s="28">
        <f t="shared" si="0"/>
        <v>4.2744625952987141E-6</v>
      </c>
    </row>
    <row r="46" spans="1:7" x14ac:dyDescent="0.2">
      <c r="A46" s="24">
        <v>3186</v>
      </c>
      <c r="B46" s="23" t="s">
        <v>37</v>
      </c>
      <c r="C46" s="69">
        <v>37126</v>
      </c>
      <c r="D46" s="54">
        <v>16248</v>
      </c>
      <c r="E46" s="24" t="s">
        <v>16</v>
      </c>
      <c r="F46" s="29">
        <v>13927831.960000001</v>
      </c>
      <c r="G46" s="28">
        <f t="shared" si="0"/>
        <v>5.4207561730943467E-2</v>
      </c>
    </row>
    <row r="47" spans="1:7" x14ac:dyDescent="0.2">
      <c r="A47" s="24">
        <v>3187</v>
      </c>
      <c r="B47" s="23" t="s">
        <v>37</v>
      </c>
      <c r="C47" s="69">
        <v>37126</v>
      </c>
      <c r="D47" s="54">
        <v>16247</v>
      </c>
      <c r="E47" s="24" t="s">
        <v>16</v>
      </c>
      <c r="F47" s="29">
        <v>19725561.050000001</v>
      </c>
      <c r="G47" s="28">
        <f t="shared" si="0"/>
        <v>7.6772506400584764E-2</v>
      </c>
    </row>
    <row r="48" spans="1:7" x14ac:dyDescent="0.2">
      <c r="A48" s="24">
        <v>3187</v>
      </c>
      <c r="B48" s="23" t="s">
        <v>37</v>
      </c>
      <c r="C48" s="69">
        <v>37146</v>
      </c>
      <c r="D48" s="54">
        <v>16487</v>
      </c>
      <c r="E48" s="24" t="s">
        <v>16</v>
      </c>
      <c r="F48" s="29">
        <v>10014532.699999999</v>
      </c>
      <c r="G48" s="28">
        <f t="shared" si="0"/>
        <v>3.8976877456654922E-2</v>
      </c>
    </row>
    <row r="49" spans="1:7" x14ac:dyDescent="0.2">
      <c r="A49" s="24">
        <v>2626</v>
      </c>
      <c r="B49" s="23" t="s">
        <v>6</v>
      </c>
      <c r="C49" s="69">
        <v>37126</v>
      </c>
      <c r="D49" s="54">
        <v>16265</v>
      </c>
      <c r="E49" s="24" t="s">
        <v>16</v>
      </c>
      <c r="F49" s="29">
        <v>114273.11</v>
      </c>
      <c r="G49" s="28">
        <f t="shared" si="0"/>
        <v>4.4475455205821517E-4</v>
      </c>
    </row>
    <row r="50" spans="1:7" x14ac:dyDescent="0.2">
      <c r="A50" s="24">
        <v>2626</v>
      </c>
      <c r="B50" s="23" t="s">
        <v>6</v>
      </c>
      <c r="C50" s="69">
        <v>37146</v>
      </c>
      <c r="D50" s="54">
        <v>16507</v>
      </c>
      <c r="E50" s="24" t="s">
        <v>16</v>
      </c>
      <c r="F50" s="29">
        <v>387.01</v>
      </c>
      <c r="G50" s="28">
        <f t="shared" si="0"/>
        <v>1.5062551390440835E-6</v>
      </c>
    </row>
    <row r="51" spans="1:7" x14ac:dyDescent="0.2">
      <c r="A51" s="24">
        <v>2528</v>
      </c>
      <c r="B51" s="23" t="s">
        <v>76</v>
      </c>
      <c r="C51" s="69">
        <v>37146</v>
      </c>
      <c r="D51" s="54">
        <v>16512</v>
      </c>
      <c r="E51" s="24" t="s">
        <v>16</v>
      </c>
      <c r="F51" s="29">
        <v>6582.2</v>
      </c>
      <c r="G51" s="28">
        <f t="shared" si="0"/>
        <v>2.5618130219415432E-5</v>
      </c>
    </row>
    <row r="52" spans="1:7" s="21" customFormat="1" x14ac:dyDescent="0.2">
      <c r="A52" s="24">
        <v>1010</v>
      </c>
      <c r="B52" s="23" t="s">
        <v>61</v>
      </c>
      <c r="C52" s="69">
        <v>37126</v>
      </c>
      <c r="D52" s="54">
        <v>16314</v>
      </c>
      <c r="E52" s="24" t="s">
        <v>16</v>
      </c>
      <c r="F52" s="29">
        <v>127016332.56</v>
      </c>
      <c r="G52" s="28">
        <f t="shared" si="0"/>
        <v>0.49435157660275536</v>
      </c>
    </row>
    <row r="53" spans="1:7" s="21" customFormat="1" x14ac:dyDescent="0.2">
      <c r="A53" s="24">
        <v>1010</v>
      </c>
      <c r="B53" s="23" t="s">
        <v>61</v>
      </c>
      <c r="C53" s="69">
        <v>37146</v>
      </c>
      <c r="D53" s="54">
        <v>16558</v>
      </c>
      <c r="E53" s="24" t="s">
        <v>16</v>
      </c>
      <c r="F53" s="29">
        <v>11297244.880000001</v>
      </c>
      <c r="G53" s="28">
        <f t="shared" si="0"/>
        <v>4.3969233760211522E-2</v>
      </c>
    </row>
    <row r="54" spans="1:7" s="21" customFormat="1" x14ac:dyDescent="0.2">
      <c r="A54" s="12">
        <v>1024</v>
      </c>
      <c r="B54" t="s">
        <v>8</v>
      </c>
      <c r="C54" s="69">
        <v>37126</v>
      </c>
      <c r="D54" s="54">
        <v>16304</v>
      </c>
      <c r="E54" s="24" t="s">
        <v>16</v>
      </c>
      <c r="F54" s="29">
        <v>24374.42</v>
      </c>
      <c r="G54" s="28">
        <f t="shared" si="0"/>
        <v>9.4866012212136355E-5</v>
      </c>
    </row>
    <row r="55" spans="1:7" s="21" customFormat="1" x14ac:dyDescent="0.2">
      <c r="A55" s="12">
        <v>1024</v>
      </c>
      <c r="B55" t="s">
        <v>8</v>
      </c>
      <c r="C55" s="69">
        <v>37146</v>
      </c>
      <c r="D55" s="54">
        <v>16548</v>
      </c>
      <c r="E55" s="24" t="s">
        <v>16</v>
      </c>
      <c r="F55" s="29">
        <v>1642.29</v>
      </c>
      <c r="G55" s="28">
        <f t="shared" si="0"/>
        <v>6.391844531926069E-6</v>
      </c>
    </row>
    <row r="56" spans="1:7" x14ac:dyDescent="0.2">
      <c r="A56" s="24">
        <v>2767</v>
      </c>
      <c r="B56" s="23" t="s">
        <v>9</v>
      </c>
      <c r="C56" s="69">
        <v>37126</v>
      </c>
      <c r="D56" s="54">
        <v>16260</v>
      </c>
      <c r="E56" s="24" t="s">
        <v>16</v>
      </c>
      <c r="F56" s="55">
        <v>149070.74</v>
      </c>
      <c r="G56" s="56">
        <f t="shared" si="0"/>
        <v>5.8018802668175092E-4</v>
      </c>
    </row>
    <row r="57" spans="1:7" x14ac:dyDescent="0.2">
      <c r="A57" s="7"/>
      <c r="B57" s="2"/>
      <c r="C57" s="9"/>
      <c r="D57" s="13"/>
      <c r="E57" s="13"/>
      <c r="F57" s="6"/>
      <c r="G57" s="21"/>
    </row>
    <row r="58" spans="1:7" ht="13.5" thickBot="1" x14ac:dyDescent="0.25">
      <c r="B58" s="1" t="s">
        <v>18</v>
      </c>
      <c r="F58" s="30">
        <f>SUM(F16:F57)</f>
        <v>256935222.97000003</v>
      </c>
      <c r="G58" s="20">
        <f>+F58/F58</f>
        <v>1</v>
      </c>
    </row>
    <row r="59" spans="1:7" ht="13.5" thickTop="1" x14ac:dyDescent="0.2"/>
    <row r="61" spans="1:7" x14ac:dyDescent="0.2">
      <c r="B61" s="82" t="s">
        <v>184</v>
      </c>
    </row>
    <row r="63" spans="1:7" ht="15.75" x14ac:dyDescent="0.25">
      <c r="B63" s="10" t="str">
        <f>+B1</f>
        <v>Certification for Market Settlement September 28, 2001</v>
      </c>
    </row>
    <row r="64" spans="1:7" ht="15.75" x14ac:dyDescent="0.25">
      <c r="B64" s="10"/>
    </row>
    <row r="65" spans="1:7" ht="15.75" x14ac:dyDescent="0.25">
      <c r="B65" s="10" t="str">
        <f>+B3</f>
        <v>For the Trade Month of June 2001</v>
      </c>
    </row>
    <row r="66" spans="1:7" ht="15.75" x14ac:dyDescent="0.25">
      <c r="B66" s="10"/>
    </row>
    <row r="67" spans="1:7" ht="15.75" x14ac:dyDescent="0.25">
      <c r="B67" s="10"/>
    </row>
    <row r="68" spans="1:7" ht="15.75" x14ac:dyDescent="0.25">
      <c r="B68" s="10" t="s">
        <v>27</v>
      </c>
    </row>
    <row r="69" spans="1:7" ht="15.75" x14ac:dyDescent="0.25">
      <c r="B69" s="10"/>
    </row>
    <row r="70" spans="1:7" x14ac:dyDescent="0.2">
      <c r="B70" s="21" t="s">
        <v>26</v>
      </c>
      <c r="C70" s="32"/>
      <c r="D70" s="33"/>
      <c r="E70" s="33"/>
      <c r="F70" s="34">
        <v>274871788.89999998</v>
      </c>
      <c r="G70" s="61">
        <f>+F70/F72</f>
        <v>0.91507140731996817</v>
      </c>
    </row>
    <row r="71" spans="1:7" x14ac:dyDescent="0.2">
      <c r="B71" s="21" t="s">
        <v>28</v>
      </c>
      <c r="C71" s="32"/>
      <c r="D71" s="33"/>
      <c r="E71" s="33"/>
      <c r="F71" s="39">
        <v>25511095.649999999</v>
      </c>
      <c r="G71" s="61">
        <f>+F71/F72</f>
        <v>8.4928592680031917E-2</v>
      </c>
    </row>
    <row r="72" spans="1:7" x14ac:dyDescent="0.2">
      <c r="B72" s="35" t="s">
        <v>29</v>
      </c>
      <c r="C72" s="32"/>
      <c r="D72" s="33"/>
      <c r="E72" s="33"/>
      <c r="F72" s="39">
        <f>SUM(F70:F71)</f>
        <v>300382884.54999995</v>
      </c>
      <c r="G72" s="62">
        <f>+F72/F72</f>
        <v>1</v>
      </c>
    </row>
    <row r="73" spans="1:7" ht="15.75" x14ac:dyDescent="0.25">
      <c r="B73" s="10"/>
    </row>
    <row r="74" spans="1:7" x14ac:dyDescent="0.2">
      <c r="B74" s="21" t="s">
        <v>209</v>
      </c>
      <c r="C74" s="32"/>
      <c r="D74" s="33"/>
      <c r="E74" s="33"/>
      <c r="F74" s="6">
        <v>37697147.170000002</v>
      </c>
    </row>
    <row r="75" spans="1:7" x14ac:dyDescent="0.2">
      <c r="B75" s="21" t="s">
        <v>216</v>
      </c>
      <c r="C75" s="32"/>
      <c r="D75" s="33"/>
      <c r="E75" s="33"/>
      <c r="F75" s="39">
        <v>2850791.91</v>
      </c>
    </row>
    <row r="76" spans="1:7" x14ac:dyDescent="0.2">
      <c r="B76" s="35" t="s">
        <v>33</v>
      </c>
      <c r="C76" s="32"/>
      <c r="D76" s="33"/>
      <c r="E76" s="33"/>
      <c r="F76" s="39">
        <f>SUM(F74:F75)</f>
        <v>40547939.079999998</v>
      </c>
      <c r="G76" s="62">
        <f>+F76/F72</f>
        <v>0.13498751482044122</v>
      </c>
    </row>
    <row r="77" spans="1:7" ht="15.75" x14ac:dyDescent="0.25">
      <c r="B77" s="10"/>
    </row>
    <row r="78" spans="1:7" s="21" customFormat="1" x14ac:dyDescent="0.2">
      <c r="A78" s="32"/>
      <c r="B78" s="21" t="s">
        <v>143</v>
      </c>
      <c r="C78" s="32"/>
      <c r="D78" s="33"/>
      <c r="E78" s="33"/>
      <c r="F78" s="6">
        <v>608.27</v>
      </c>
    </row>
    <row r="79" spans="1:7" s="21" customFormat="1" x14ac:dyDescent="0.2">
      <c r="A79" s="32"/>
      <c r="B79" s="21" t="s">
        <v>210</v>
      </c>
      <c r="C79" s="32"/>
      <c r="D79" s="33"/>
      <c r="E79" s="33"/>
      <c r="F79" s="6">
        <v>845.86</v>
      </c>
    </row>
    <row r="80" spans="1:7" s="21" customFormat="1" x14ac:dyDescent="0.2">
      <c r="A80" s="32"/>
      <c r="B80" s="21" t="s">
        <v>218</v>
      </c>
      <c r="C80" s="32"/>
      <c r="D80" s="33"/>
      <c r="E80" s="33"/>
      <c r="F80" s="6">
        <v>3402725.29</v>
      </c>
    </row>
    <row r="81" spans="1:7" s="21" customFormat="1" x14ac:dyDescent="0.2">
      <c r="A81" s="32"/>
      <c r="B81" s="21" t="s">
        <v>205</v>
      </c>
      <c r="C81" s="32"/>
      <c r="D81" s="33"/>
      <c r="E81" s="33"/>
      <c r="F81" s="6">
        <v>63.7</v>
      </c>
    </row>
    <row r="82" spans="1:7" s="21" customFormat="1" x14ac:dyDescent="0.2">
      <c r="A82" s="32"/>
      <c r="B82" s="21" t="s">
        <v>199</v>
      </c>
      <c r="C82" s="32"/>
      <c r="D82" s="33"/>
      <c r="E82" s="33"/>
      <c r="F82" s="39">
        <v>2479521.08</v>
      </c>
    </row>
    <row r="83" spans="1:7" x14ac:dyDescent="0.2">
      <c r="B83" s="1" t="s">
        <v>53</v>
      </c>
      <c r="F83" s="40">
        <f>SUM(F78:F82)</f>
        <v>5883764.2000000002</v>
      </c>
      <c r="G83" s="62">
        <f>+F83/F72</f>
        <v>1.9587548101531811E-2</v>
      </c>
    </row>
    <row r="84" spans="1:7" x14ac:dyDescent="0.2">
      <c r="B84" s="1"/>
      <c r="F84" s="36"/>
      <c r="G84" s="62"/>
    </row>
    <row r="85" spans="1:7" s="21" customFormat="1" x14ac:dyDescent="0.2">
      <c r="A85" s="32"/>
      <c r="B85" s="21" t="s">
        <v>217</v>
      </c>
      <c r="C85" s="32"/>
      <c r="D85" s="33"/>
      <c r="E85" s="33"/>
      <c r="F85" s="39">
        <v>2984041.7</v>
      </c>
      <c r="G85" s="62">
        <f>+F85/F72</f>
        <v>9.9341269209474361E-3</v>
      </c>
    </row>
    <row r="86" spans="1:7" ht="15.75" x14ac:dyDescent="0.25">
      <c r="B86" s="10"/>
    </row>
    <row r="87" spans="1:7" ht="16.5" thickBot="1" x14ac:dyDescent="0.3">
      <c r="B87" s="44" t="s">
        <v>35</v>
      </c>
      <c r="C87" s="48"/>
      <c r="D87" s="49"/>
      <c r="E87" s="49"/>
      <c r="F87" s="50">
        <f>+F72-F76-F83+F85</f>
        <v>256935222.96999997</v>
      </c>
      <c r="G87" s="63">
        <f>+F87/F72</f>
        <v>0.85535906399897443</v>
      </c>
    </row>
    <row r="88" spans="1:7" ht="15.75" x14ac:dyDescent="0.25">
      <c r="B88" s="37"/>
      <c r="C88" s="32"/>
      <c r="D88" s="33"/>
      <c r="E88" s="33"/>
      <c r="F88" s="38"/>
    </row>
    <row r="89" spans="1:7" ht="15.75" x14ac:dyDescent="0.25">
      <c r="B89" s="10"/>
    </row>
    <row r="90" spans="1:7" ht="15.75" x14ac:dyDescent="0.25">
      <c r="B90" s="37" t="s">
        <v>34</v>
      </c>
      <c r="C90" s="32"/>
      <c r="D90" s="33"/>
      <c r="E90" s="33"/>
      <c r="F90" s="21"/>
    </row>
    <row r="91" spans="1:7" ht="15.75" x14ac:dyDescent="0.25">
      <c r="B91" s="37"/>
      <c r="C91" s="32"/>
      <c r="D91" s="33"/>
      <c r="E91" s="33"/>
      <c r="F91" s="21"/>
    </row>
    <row r="92" spans="1:7" s="21" customFormat="1" x14ac:dyDescent="0.2">
      <c r="A92" s="32"/>
      <c r="B92" s="21" t="s">
        <v>26</v>
      </c>
      <c r="C92" s="32"/>
      <c r="D92" s="33"/>
      <c r="E92" s="33"/>
      <c r="F92" s="34">
        <v>274870136.25</v>
      </c>
      <c r="G92" s="64">
        <f>+F92/F94</f>
        <v>0.98159619540094123</v>
      </c>
    </row>
    <row r="93" spans="1:7" x14ac:dyDescent="0.2">
      <c r="B93" s="21" t="s">
        <v>28</v>
      </c>
      <c r="C93" s="32"/>
      <c r="D93" s="33"/>
      <c r="E93" s="33"/>
      <c r="F93" s="39">
        <v>5153500.29</v>
      </c>
      <c r="G93" s="64">
        <f>+F93/F94</f>
        <v>1.8403804599058722E-2</v>
      </c>
    </row>
    <row r="94" spans="1:7" x14ac:dyDescent="0.2">
      <c r="B94" s="35" t="s">
        <v>29</v>
      </c>
      <c r="C94" s="32"/>
      <c r="D94" s="33"/>
      <c r="E94" s="33"/>
      <c r="F94" s="39">
        <f>SUM(F92:F93)</f>
        <v>280023636.54000002</v>
      </c>
      <c r="G94" s="62">
        <f>+F94/F94</f>
        <v>1</v>
      </c>
    </row>
    <row r="95" spans="1:7" ht="15.75" x14ac:dyDescent="0.25">
      <c r="B95" s="10"/>
    </row>
    <row r="96" spans="1:7" x14ac:dyDescent="0.2">
      <c r="B96" s="21" t="s">
        <v>203</v>
      </c>
      <c r="C96" s="32"/>
      <c r="D96" s="33"/>
      <c r="E96" s="33"/>
      <c r="F96" s="39">
        <v>29703202.440000001</v>
      </c>
    </row>
    <row r="97" spans="2:7" x14ac:dyDescent="0.2">
      <c r="B97" s="35" t="s">
        <v>41</v>
      </c>
      <c r="C97" s="32"/>
      <c r="D97" s="33"/>
      <c r="E97" s="33"/>
      <c r="F97" s="39">
        <f>SUM(F96:F96)</f>
        <v>29703202.440000001</v>
      </c>
      <c r="G97" s="62">
        <f>+F97/F94</f>
        <v>0.10607391149909962</v>
      </c>
    </row>
    <row r="98" spans="2:7" ht="15.75" x14ac:dyDescent="0.25">
      <c r="B98" s="10"/>
    </row>
    <row r="99" spans="2:7" x14ac:dyDescent="0.2">
      <c r="B99" s="21" t="s">
        <v>159</v>
      </c>
      <c r="C99" s="32"/>
      <c r="D99" s="33"/>
      <c r="E99" s="33"/>
      <c r="F99" s="36">
        <v>434861.71</v>
      </c>
    </row>
    <row r="100" spans="2:7" x14ac:dyDescent="0.2">
      <c r="B100" s="21" t="s">
        <v>154</v>
      </c>
      <c r="C100" s="32"/>
      <c r="D100" s="33"/>
      <c r="E100" s="33"/>
      <c r="F100" s="36">
        <v>3337418.44</v>
      </c>
    </row>
    <row r="101" spans="2:7" x14ac:dyDescent="0.2">
      <c r="B101" s="21" t="s">
        <v>153</v>
      </c>
      <c r="C101" s="32"/>
      <c r="D101" s="33"/>
      <c r="E101" s="33"/>
      <c r="F101" s="36">
        <v>2968438.1</v>
      </c>
    </row>
    <row r="102" spans="2:7" x14ac:dyDescent="0.2">
      <c r="B102" s="21" t="s">
        <v>171</v>
      </c>
      <c r="C102" s="32"/>
      <c r="D102" s="33"/>
      <c r="E102" s="33"/>
      <c r="F102" s="36">
        <v>22.43</v>
      </c>
    </row>
    <row r="103" spans="2:7" x14ac:dyDescent="0.2">
      <c r="B103" s="21" t="s">
        <v>163</v>
      </c>
      <c r="C103" s="32"/>
      <c r="D103" s="33"/>
      <c r="E103" s="33"/>
      <c r="F103" s="36">
        <v>323061.74</v>
      </c>
    </row>
    <row r="104" spans="2:7" x14ac:dyDescent="0.2">
      <c r="B104" s="21" t="s">
        <v>178</v>
      </c>
      <c r="C104" s="32"/>
      <c r="D104" s="33"/>
      <c r="E104" s="33"/>
      <c r="F104" s="36">
        <v>149679.06</v>
      </c>
    </row>
    <row r="105" spans="2:7" x14ac:dyDescent="0.2">
      <c r="B105" s="21" t="s">
        <v>177</v>
      </c>
      <c r="C105" s="32"/>
      <c r="D105" s="33"/>
      <c r="E105" s="33"/>
      <c r="F105" s="36">
        <v>2000087.82</v>
      </c>
    </row>
    <row r="106" spans="2:7" x14ac:dyDescent="0.2">
      <c r="B106" s="21" t="s">
        <v>218</v>
      </c>
      <c r="C106" s="32"/>
      <c r="D106" s="33"/>
      <c r="E106" s="33"/>
      <c r="F106" s="36">
        <v>56824014.520000003</v>
      </c>
    </row>
    <row r="107" spans="2:7" x14ac:dyDescent="0.2">
      <c r="B107" s="21" t="s">
        <v>205</v>
      </c>
      <c r="C107" s="32"/>
      <c r="D107" s="33"/>
      <c r="E107" s="33"/>
      <c r="F107" s="36">
        <v>431852.47</v>
      </c>
    </row>
    <row r="108" spans="2:7" x14ac:dyDescent="0.2">
      <c r="B108" s="21" t="s">
        <v>206</v>
      </c>
      <c r="C108" s="32"/>
      <c r="D108" s="33"/>
      <c r="E108" s="33"/>
      <c r="F108" s="40">
        <v>2479521.08</v>
      </c>
    </row>
    <row r="109" spans="2:7" x14ac:dyDescent="0.2">
      <c r="B109" s="1" t="s">
        <v>53</v>
      </c>
      <c r="C109" s="32"/>
      <c r="D109" s="33"/>
      <c r="E109" s="33"/>
      <c r="F109" s="40">
        <f>SUM(F99:F108)</f>
        <v>68948957.370000005</v>
      </c>
      <c r="G109" s="62">
        <f>+F109/F94</f>
        <v>0.24622549089762635</v>
      </c>
    </row>
    <row r="110" spans="2:7" ht="15.75" x14ac:dyDescent="0.25">
      <c r="B110" s="10"/>
    </row>
    <row r="111" spans="2:7" ht="16.5" thickBot="1" x14ac:dyDescent="0.3">
      <c r="B111" s="44" t="s">
        <v>36</v>
      </c>
      <c r="C111" s="48"/>
      <c r="D111" s="49"/>
      <c r="E111" s="49"/>
      <c r="F111" s="50">
        <f>+F94-F97-F109</f>
        <v>181371476.73000002</v>
      </c>
      <c r="G111" s="63">
        <f>+F111/F94</f>
        <v>0.64770059760327403</v>
      </c>
    </row>
    <row r="112" spans="2:7" ht="15.75" x14ac:dyDescent="0.25">
      <c r="B112" s="10"/>
    </row>
  </sheetData>
  <phoneticPr fontId="0" type="noConversion"/>
  <pageMargins left="0.5" right="0.25" top="0.5" bottom="0.5" header="0.5" footer="0"/>
  <pageSetup scale="78" orientation="portrait" r:id="rId1"/>
  <headerFooter alignWithMargins="0">
    <oddFooter>&amp;LCertification September 28, 2001&amp;CPage &amp;P of &amp;N&amp;RTrade Month June 2001</oddFooter>
  </headerFooter>
  <rowBreaks count="1" manualBreakCount="1">
    <brk id="62"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2"/>
  <sheetViews>
    <sheetView tabSelected="1" topLeftCell="A6" zoomScaleNormal="100" workbookViewId="0">
      <selection activeCell="A15" sqref="A15"/>
    </sheetView>
  </sheetViews>
  <sheetFormatPr defaultRowHeight="12.75" x14ac:dyDescent="0.2"/>
  <cols>
    <col min="1" max="1" width="70.7109375" customWidth="1"/>
    <col min="2" max="2" width="16.7109375" customWidth="1"/>
  </cols>
  <sheetData>
    <row r="1" spans="1:1" ht="15.75" customHeight="1" x14ac:dyDescent="0.25">
      <c r="A1" s="53" t="s">
        <v>221</v>
      </c>
    </row>
    <row r="2" spans="1:1" ht="15.75" customHeight="1" x14ac:dyDescent="0.25">
      <c r="A2" s="10"/>
    </row>
    <row r="3" spans="1:1" ht="15.75" customHeight="1" x14ac:dyDescent="0.25">
      <c r="A3" s="83" t="s">
        <v>43</v>
      </c>
    </row>
    <row r="4" spans="1:1" ht="15.75" customHeight="1" x14ac:dyDescent="0.25">
      <c r="A4" s="42" t="s">
        <v>44</v>
      </c>
    </row>
    <row r="5" spans="1:1" ht="15.75" customHeight="1" x14ac:dyDescent="0.25">
      <c r="A5" s="42" t="s">
        <v>45</v>
      </c>
    </row>
    <row r="6" spans="1:1" ht="15.75" customHeight="1" x14ac:dyDescent="0.25">
      <c r="A6" s="42" t="s">
        <v>82</v>
      </c>
    </row>
    <row r="7" spans="1:1" ht="15.75" customHeight="1" x14ac:dyDescent="0.25">
      <c r="A7" s="42" t="s">
        <v>87</v>
      </c>
    </row>
    <row r="8" spans="1:1" ht="15.75" customHeight="1" x14ac:dyDescent="0.25">
      <c r="A8" s="42" t="s">
        <v>111</v>
      </c>
    </row>
    <row r="9" spans="1:1" ht="15.75" customHeight="1" x14ac:dyDescent="0.25">
      <c r="A9" s="42" t="s">
        <v>116</v>
      </c>
    </row>
    <row r="10" spans="1:1" ht="15.75" customHeight="1" x14ac:dyDescent="0.25">
      <c r="A10" s="42" t="s">
        <v>194</v>
      </c>
    </row>
    <row r="11" spans="1:1" ht="15.75" customHeight="1" x14ac:dyDescent="0.25">
      <c r="A11" s="42" t="s">
        <v>219</v>
      </c>
    </row>
    <row r="12" spans="1:1" ht="15.75" customHeight="1" x14ac:dyDescent="0.25">
      <c r="A12" s="42"/>
    </row>
    <row r="13" spans="1:1" ht="15.75" customHeight="1" x14ac:dyDescent="0.25">
      <c r="A13" s="42"/>
    </row>
    <row r="14" spans="1:1" ht="15.75" customHeight="1" x14ac:dyDescent="0.2"/>
    <row r="15" spans="1:1" ht="15.75" customHeight="1" x14ac:dyDescent="0.25">
      <c r="A15" s="10" t="s">
        <v>21</v>
      </c>
    </row>
    <row r="16" spans="1:1" ht="15.75" customHeight="1" x14ac:dyDescent="0.2">
      <c r="A16" s="17"/>
    </row>
    <row r="17" spans="1:1" ht="102.75" customHeight="1" x14ac:dyDescent="0.2">
      <c r="A17" s="43" t="s">
        <v>47</v>
      </c>
    </row>
    <row r="18" spans="1:1" ht="15.75" customHeight="1" x14ac:dyDescent="0.2"/>
    <row r="19" spans="1:1" ht="15.75" customHeight="1" x14ac:dyDescent="0.25">
      <c r="A19" s="10" t="s">
        <v>220</v>
      </c>
    </row>
    <row r="20" spans="1:1" ht="15.75" customHeight="1" x14ac:dyDescent="0.25">
      <c r="A20" s="10" t="s">
        <v>20</v>
      </c>
    </row>
    <row r="21" spans="1:1" ht="54.75" customHeight="1" thickBot="1" x14ac:dyDescent="0.25">
      <c r="A21" s="87" t="s">
        <v>222</v>
      </c>
    </row>
    <row r="22" spans="1:1" ht="15.75" customHeight="1" x14ac:dyDescent="0.25">
      <c r="A22" s="10" t="s">
        <v>46</v>
      </c>
    </row>
  </sheetData>
  <phoneticPr fontId="0" type="noConversion"/>
  <pageMargins left="1" right="0.75" top="1" bottom="1" header="0.5" footer="0.5"/>
  <pageSetup orientation="portrait" r:id="rId1"/>
  <headerFooter alignWithMargins="0">
    <oddFooter>&amp;LCertification September 28, 2001&amp;CPage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Cert Nov-00</vt:lpstr>
      <vt:lpstr>Cert Dec-00</vt:lpstr>
      <vt:lpstr>Cert Jan-01</vt:lpstr>
      <vt:lpstr>Cert Feb-01</vt:lpstr>
      <vt:lpstr>Cert Mar-01</vt:lpstr>
      <vt:lpstr>Cert Apr-01</vt:lpstr>
      <vt:lpstr>Cert May-01</vt:lpstr>
      <vt:lpstr>Cert Jun-01</vt:lpstr>
      <vt:lpstr>Certification</vt:lpstr>
      <vt:lpstr>'Cert Apr-01'!Print_Area</vt:lpstr>
      <vt:lpstr>'Cert Dec-00'!Print_Area</vt:lpstr>
      <vt:lpstr>'Cert Feb-01'!Print_Area</vt:lpstr>
      <vt:lpstr>'Cert Jan-01'!Print_Area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Jan Havlíček</cp:lastModifiedBy>
  <cp:lastPrinted>2001-09-28T19:28:19Z</cp:lastPrinted>
  <dcterms:created xsi:type="dcterms:W3CDTF">1998-02-17T01:41:47Z</dcterms:created>
  <dcterms:modified xsi:type="dcterms:W3CDTF">2023-09-13T10:04:03Z</dcterms:modified>
</cp:coreProperties>
</file>