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D3D762-33D8-4B38-AE81-0F4A2D871A89}" xr6:coauthVersionLast="47" xr6:coauthVersionMax="47" xr10:uidLastSave="{00000000-0000-0000-0000-000000000000}"/>
  <bookViews>
    <workbookView xWindow="-120" yWindow="-120" windowWidth="23280" windowHeight="12480" tabRatio="793"/>
  </bookViews>
  <sheets>
    <sheet name="Summary" sheetId="13" r:id="rId1"/>
    <sheet name="Credit Analysis" sheetId="2" r:id="rId2"/>
    <sheet name="Hawaii Summary" sheetId="6" r:id="rId3"/>
    <sheet name="A Amort" sheetId="8" state="hidden" r:id="rId4"/>
    <sheet name="A TRS" sheetId="12" state="hidden" r:id="rId5"/>
    <sheet name="B_D Amort" sheetId="9" state="hidden" r:id="rId6"/>
    <sheet name="B_D TRS" sheetId="10" state="hidden" r:id="rId7"/>
    <sheet name="C Amort" sheetId="7" state="hidden" r:id="rId8"/>
    <sheet name="C TRS" sheetId="11" state="hidden" r:id="rId9"/>
    <sheet name="Notional Analysis" sheetId="1" r:id="rId10"/>
    <sheet name="50 NR" sheetId="3" r:id="rId11"/>
    <sheet name="258 NP" sheetId="5" r:id="rId12"/>
    <sheet name="50 NP" sheetId="4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<sst xmlns="http://schemas.openxmlformats.org/spreadsheetml/2006/main" count="373" uniqueCount="159">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</sst>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166" fontId="4" fillId="0" borderId="0" xfId="2" applyNumberFormat="1" applyFont="1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F024D74A-C940-42FD-4D40-64B4FD0BC303}"/>
            </a:ext>
          </a:extLst>
        </xdr:cNvPr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8" sqref="C8"/>
    </sheetView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7"/>
      <c r="B1" s="78"/>
      <c r="C1" s="78"/>
      <c r="D1" s="78"/>
      <c r="E1" s="78"/>
      <c r="F1" s="79"/>
    </row>
    <row r="2" spans="1:6" ht="18.75" x14ac:dyDescent="0.3">
      <c r="A2" s="68"/>
      <c r="B2" s="92" t="s">
        <v>158</v>
      </c>
      <c r="C2" s="92"/>
      <c r="D2" s="92"/>
      <c r="E2" s="92"/>
      <c r="F2" s="70"/>
    </row>
    <row r="3" spans="1:6" x14ac:dyDescent="0.2">
      <c r="A3" s="68"/>
      <c r="B3" s="69"/>
      <c r="C3" s="69"/>
      <c r="D3" s="69"/>
      <c r="E3" s="69"/>
      <c r="F3" s="70"/>
    </row>
    <row r="4" spans="1:6" ht="15.75" x14ac:dyDescent="0.25">
      <c r="A4" s="68"/>
      <c r="B4" s="80" t="s">
        <v>146</v>
      </c>
      <c r="C4" s="69"/>
      <c r="D4" s="69"/>
      <c r="E4" s="69"/>
      <c r="F4" s="70"/>
    </row>
    <row r="5" spans="1:6" ht="15.75" x14ac:dyDescent="0.25">
      <c r="A5" s="68"/>
      <c r="B5" s="69" t="s">
        <v>147</v>
      </c>
      <c r="C5" s="81">
        <f>+'Credit Analysis'!B3</f>
        <v>36959</v>
      </c>
      <c r="D5" s="82" t="s">
        <v>148</v>
      </c>
      <c r="E5" s="83">
        <f>+C5-1</f>
        <v>36958</v>
      </c>
      <c r="F5" s="70"/>
    </row>
    <row r="6" spans="1:6" x14ac:dyDescent="0.2">
      <c r="A6" s="68"/>
      <c r="B6" s="69"/>
      <c r="C6" s="69"/>
      <c r="D6" s="69"/>
      <c r="E6" s="69"/>
      <c r="F6" s="70"/>
    </row>
    <row r="7" spans="1:6" x14ac:dyDescent="0.2">
      <c r="A7" s="68"/>
      <c r="B7" s="69"/>
      <c r="C7" s="69"/>
      <c r="D7" s="69"/>
      <c r="E7" s="69"/>
      <c r="F7" s="70"/>
    </row>
    <row r="8" spans="1:6" ht="15.75" x14ac:dyDescent="0.25">
      <c r="A8" s="68"/>
      <c r="B8" s="80" t="s">
        <v>149</v>
      </c>
      <c r="C8" s="69"/>
      <c r="D8" s="69"/>
      <c r="E8" s="69"/>
      <c r="F8" s="70"/>
    </row>
    <row r="9" spans="1:6" ht="15.75" x14ac:dyDescent="0.25">
      <c r="A9" s="68"/>
      <c r="B9" s="84"/>
      <c r="C9" s="69"/>
      <c r="D9" s="69"/>
      <c r="E9" s="69"/>
      <c r="F9" s="70"/>
    </row>
    <row r="10" spans="1:6" x14ac:dyDescent="0.2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">
      <c r="A11" s="68"/>
      <c r="B11" s="69"/>
      <c r="C11" s="85"/>
      <c r="D11" s="85"/>
      <c r="E11" s="85"/>
      <c r="F11" s="70"/>
    </row>
    <row r="12" spans="1:6" x14ac:dyDescent="0.2">
      <c r="A12" s="68"/>
      <c r="B12" s="69" t="s">
        <v>154</v>
      </c>
      <c r="C12" s="91">
        <v>-246643275</v>
      </c>
      <c r="D12" s="59">
        <v>0</v>
      </c>
      <c r="E12" s="59">
        <f>+C12-D12</f>
        <v>-246643275</v>
      </c>
      <c r="F12" s="70"/>
    </row>
    <row r="13" spans="1:6" x14ac:dyDescent="0.2">
      <c r="A13" s="68"/>
      <c r="B13" s="69" t="s">
        <v>155</v>
      </c>
      <c r="C13" s="86">
        <f>+C15-C12</f>
        <v>-10268892</v>
      </c>
      <c r="D13" s="86">
        <f>+D15-D12</f>
        <v>0</v>
      </c>
      <c r="E13" s="86">
        <f>+E15-E12</f>
        <v>-10268892</v>
      </c>
      <c r="F13" s="70"/>
    </row>
    <row r="14" spans="1:6" x14ac:dyDescent="0.2">
      <c r="A14" s="68"/>
      <c r="B14" s="69"/>
      <c r="C14" s="59"/>
      <c r="D14" s="59"/>
      <c r="E14" s="59"/>
      <c r="F14" s="70"/>
    </row>
    <row r="15" spans="1:6" ht="13.5" thickBot="1" x14ac:dyDescent="0.25">
      <c r="A15" s="68"/>
      <c r="B15" s="69" t="s">
        <v>156</v>
      </c>
      <c r="C15" s="87">
        <f>+'Credit Analysis'!C27</f>
        <v>-256912167</v>
      </c>
      <c r="D15" s="87">
        <v>0</v>
      </c>
      <c r="E15" s="87">
        <f>+C15-D15</f>
        <v>-256912167</v>
      </c>
      <c r="F15" s="70"/>
    </row>
    <row r="16" spans="1:6" ht="13.5" thickTop="1" x14ac:dyDescent="0.2">
      <c r="A16" s="68"/>
      <c r="B16" s="69"/>
      <c r="C16" s="59"/>
      <c r="D16" s="59"/>
      <c r="E16" s="59"/>
      <c r="F16" s="70"/>
    </row>
    <row r="17" spans="1:6" x14ac:dyDescent="0.2">
      <c r="A17" s="68"/>
      <c r="B17" s="69"/>
      <c r="C17" s="69"/>
      <c r="D17" s="69"/>
      <c r="E17" s="69"/>
      <c r="F17" s="70"/>
    </row>
    <row r="18" spans="1:6" x14ac:dyDescent="0.2">
      <c r="A18" s="68"/>
      <c r="B18" s="69" t="s">
        <v>21</v>
      </c>
      <c r="C18" s="59">
        <f>IF(+'Credit Analysis'!C55&gt;0,+'Credit Analysis'!C55,0)</f>
        <v>0</v>
      </c>
      <c r="D18" s="69"/>
      <c r="E18" s="69"/>
      <c r="F18" s="70"/>
    </row>
    <row r="19" spans="1:6" x14ac:dyDescent="0.2">
      <c r="A19" s="68"/>
      <c r="B19" s="69"/>
      <c r="C19" s="59"/>
      <c r="D19" s="69"/>
      <c r="E19" s="69"/>
      <c r="F19" s="70"/>
    </row>
    <row r="20" spans="1:6" x14ac:dyDescent="0.2">
      <c r="A20" s="68"/>
      <c r="B20" s="69"/>
      <c r="C20" s="59"/>
      <c r="D20" s="69"/>
      <c r="E20" s="69"/>
      <c r="F20" s="70"/>
    </row>
    <row r="21" spans="1:6" x14ac:dyDescent="0.2">
      <c r="A21" s="68"/>
      <c r="B21" s="69" t="s">
        <v>157</v>
      </c>
      <c r="C21" s="59">
        <f>+'Credit Analysis'!C42</f>
        <v>-111791572.54993334</v>
      </c>
      <c r="D21" s="69"/>
      <c r="E21" s="69"/>
      <c r="F21" s="70"/>
    </row>
    <row r="22" spans="1:6" x14ac:dyDescent="0.2">
      <c r="A22" s="68"/>
      <c r="B22" s="69"/>
      <c r="C22" s="59"/>
      <c r="D22" s="69"/>
      <c r="E22" s="69"/>
      <c r="F22" s="70"/>
    </row>
    <row r="23" spans="1:6" x14ac:dyDescent="0.2">
      <c r="A23" s="68"/>
      <c r="B23" s="69"/>
      <c r="C23" s="59"/>
      <c r="D23" s="69"/>
      <c r="E23" s="69"/>
      <c r="F23" s="70"/>
    </row>
    <row r="24" spans="1:6" ht="15.75" x14ac:dyDescent="0.25">
      <c r="A24" s="68"/>
      <c r="B24" s="88"/>
      <c r="C24" s="59"/>
      <c r="D24" s="69"/>
      <c r="E24" s="69"/>
      <c r="F24" s="70"/>
    </row>
    <row r="25" spans="1:6" ht="13.5" thickBot="1" x14ac:dyDescent="0.25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C38" sqref="C38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95" t="s">
        <v>3</v>
      </c>
      <c r="C13" s="95"/>
      <c r="E13" s="95" t="s">
        <v>4</v>
      </c>
      <c r="F13" s="95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93" t="s">
        <v>12</v>
      </c>
      <c r="D21" s="93"/>
      <c r="E21" s="93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95" t="s">
        <v>3</v>
      </c>
      <c r="C34" s="95"/>
      <c r="E34" s="95" t="s">
        <v>4</v>
      </c>
      <c r="F34" s="95"/>
      <c r="H34" s="96" t="s">
        <v>51</v>
      </c>
      <c r="I34" s="96"/>
      <c r="J34" s="96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93" t="s">
        <v>12</v>
      </c>
      <c r="D42" s="93"/>
      <c r="E42" s="93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6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2.75" x14ac:dyDescent="0.2"/>
  <cols>
    <col min="1" max="1" width="12.28515625" bestFit="1" customWidth="1"/>
    <col min="2" max="2" width="14.85546875" bestFit="1" customWidth="1"/>
    <col min="3" max="3" width="13.42578125" bestFit="1" customWidth="1"/>
    <col min="4" max="4" width="11.28515625" bestFit="1" customWidth="1"/>
    <col min="5" max="5" width="14.140625" bestFit="1" customWidth="1"/>
    <col min="6" max="6" width="12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96" t="s">
        <v>30</v>
      </c>
      <c r="B1" s="96"/>
      <c r="E1" t="s">
        <v>88</v>
      </c>
      <c r="F1" s="25">
        <f>'Credit Analysis'!B3</f>
        <v>36959</v>
      </c>
      <c r="J1" t="s">
        <v>36</v>
      </c>
      <c r="K1" s="28">
        <f>VLOOKUP(F1,Note_Receivable,6)</f>
        <v>10501000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343032.66666666669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168</v>
      </c>
      <c r="K3" s="17">
        <f>K1+K2</f>
        <v>10844032.666666666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343032.66666666669</v>
      </c>
    </row>
    <row r="5" spans="1:11" x14ac:dyDescent="0.2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3.42578125" bestFit="1" customWidth="1"/>
    <col min="4" max="4" width="12.28515625" bestFit="1" customWidth="1"/>
    <col min="5" max="5" width="14.140625" bestFit="1" customWidth="1"/>
    <col min="6" max="6" width="13.28515625" bestFit="1" customWidth="1"/>
    <col min="7" max="7" width="9.140625" hidden="1" customWidth="1"/>
    <col min="8" max="8" width="13.28515625" hidden="1" customWidth="1"/>
    <col min="9" max="9" width="14.7109375" bestFit="1" customWidth="1"/>
    <col min="10" max="10" width="16" bestFit="1" customWidth="1"/>
  </cols>
  <sheetData>
    <row r="1" spans="1:10" x14ac:dyDescent="0.2">
      <c r="A1" s="96" t="s">
        <v>41</v>
      </c>
      <c r="B1" s="96"/>
      <c r="E1" t="s">
        <v>88</v>
      </c>
      <c r="F1" s="25">
        <f>'Credit Analysis'!B3</f>
        <v>36959</v>
      </c>
      <c r="I1" t="s">
        <v>36</v>
      </c>
      <c r="J1" s="28">
        <f>VLOOKUP(F1,Lg_Payable,6)</f>
        <v>0</v>
      </c>
    </row>
    <row r="2" spans="1:10" x14ac:dyDescent="0.2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5" thickBot="1" x14ac:dyDescent="0.25">
      <c r="A3" t="s">
        <v>32</v>
      </c>
      <c r="B3" s="21">
        <f>'Credit Analysis'!B7</f>
        <v>7.2499999999999995E-2</v>
      </c>
      <c r="E3" t="s">
        <v>127</v>
      </c>
      <c r="F3" s="27">
        <f>F1-F2</f>
        <v>168</v>
      </c>
      <c r="J3" s="17">
        <f>J1+J2</f>
        <v>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">
      <c r="A5" t="s">
        <v>34</v>
      </c>
      <c r="B5" s="24">
        <f>PMT(B3/2,B4,-B2)</f>
        <v>0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2.28515625" bestFit="1" customWidth="1"/>
    <col min="4" max="4" width="11.28515625" customWidth="1"/>
    <col min="5" max="5" width="12.28515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96" t="s">
        <v>39</v>
      </c>
      <c r="B1" s="96"/>
      <c r="E1" t="s">
        <v>88</v>
      </c>
      <c r="F1" s="25">
        <f>'Credit Analysis'!B3</f>
        <v>36959</v>
      </c>
      <c r="I1" t="s">
        <v>36</v>
      </c>
      <c r="J1" s="28">
        <f>VLOOKUP(F1,Small_Payable,6)</f>
        <v>50000000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1750000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168</v>
      </c>
      <c r="J3" s="17">
        <f>J1+J2</f>
        <v>51750000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1750000</v>
      </c>
    </row>
    <row r="5" spans="1:10" x14ac:dyDescent="0.2">
      <c r="A5" t="s">
        <v>34</v>
      </c>
      <c r="B5" s="41">
        <f>PMT(B3/2,B4,-B2)</f>
        <v>6088067.1162854237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9" sqref="B9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v>36959</v>
      </c>
    </row>
    <row r="4" spans="1:6" x14ac:dyDescent="0.2">
      <c r="A4" s="94" t="s">
        <v>26</v>
      </c>
      <c r="B4" s="94"/>
      <c r="C4" s="74" t="s">
        <v>144</v>
      </c>
      <c r="D4" s="75" t="s">
        <v>145</v>
      </c>
      <c r="E4" s="76" t="s">
        <v>143</v>
      </c>
    </row>
    <row r="5" spans="1:6" hidden="1" x14ac:dyDescent="0.2">
      <c r="A5" t="s">
        <v>27</v>
      </c>
      <c r="B5" s="39">
        <v>7.0000000000000007E-2</v>
      </c>
      <c r="C5" s="68"/>
      <c r="D5" s="69"/>
      <c r="E5" s="70"/>
    </row>
    <row r="6" spans="1:6" hidden="1" x14ac:dyDescent="0.2">
      <c r="A6" t="s">
        <v>28</v>
      </c>
      <c r="B6" s="39">
        <v>7.4999999999999997E-2</v>
      </c>
      <c r="C6" s="68"/>
      <c r="D6" s="69"/>
      <c r="E6" s="70"/>
    </row>
    <row r="7" spans="1:6" hidden="1" x14ac:dyDescent="0.2">
      <c r="A7" t="s">
        <v>29</v>
      </c>
      <c r="B7" s="39">
        <v>7.2499999999999995E-2</v>
      </c>
      <c r="C7" s="68"/>
      <c r="D7" s="69"/>
      <c r="E7" s="70"/>
    </row>
    <row r="8" spans="1:6" ht="13.5" thickBot="1" x14ac:dyDescent="0.25">
      <c r="A8" t="s">
        <v>50</v>
      </c>
      <c r="B8" s="67">
        <v>6.47</v>
      </c>
      <c r="C8" s="71">
        <v>15.423721771756313</v>
      </c>
      <c r="D8" s="72">
        <v>9.81124244931266</v>
      </c>
      <c r="E8" s="73">
        <v>9.0991774997950881</v>
      </c>
    </row>
    <row r="9" spans="1:6" x14ac:dyDescent="0.2">
      <c r="B9" s="34"/>
      <c r="C9" s="65"/>
    </row>
    <row r="10" spans="1:6" x14ac:dyDescent="0.2">
      <c r="A10" s="96" t="s">
        <v>49</v>
      </c>
      <c r="B10" s="96"/>
      <c r="C10" s="96"/>
      <c r="D10" s="96"/>
      <c r="E10" s="96"/>
    </row>
    <row r="11" spans="1:6" x14ac:dyDescent="0.2">
      <c r="B11" s="32" t="s">
        <v>48</v>
      </c>
      <c r="C11" s="33">
        <f>B3</f>
        <v>36959</v>
      </c>
    </row>
    <row r="12" spans="1:6" ht="13.5" thickBot="1" x14ac:dyDescent="0.25">
      <c r="A12" s="95" t="s">
        <v>3</v>
      </c>
      <c r="B12" s="95"/>
      <c r="D12" s="95" t="s">
        <v>4</v>
      </c>
      <c r="E12" s="95"/>
    </row>
    <row r="13" spans="1:6" x14ac:dyDescent="0.2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">
      <c r="A14" s="2" t="s">
        <v>23</v>
      </c>
      <c r="B14" s="27">
        <f>'Notional Analysis'!C5*'Notional Analysis'!C8*(B8)</f>
        <v>156042166</v>
      </c>
      <c r="D14" t="s">
        <v>6</v>
      </c>
      <c r="E14" s="27">
        <f>'50 NP'!J3</f>
        <v>51750000</v>
      </c>
    </row>
    <row r="15" spans="1:6" x14ac:dyDescent="0.2">
      <c r="A15" s="2" t="s">
        <v>8</v>
      </c>
      <c r="B15" s="27">
        <f>'50 NR'!K3</f>
        <v>10844032.666666666</v>
      </c>
      <c r="D15" t="s">
        <v>69</v>
      </c>
      <c r="E15" s="27">
        <f>'Hawaii Summary'!C18</f>
        <v>256912167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15604.216600000002</v>
      </c>
    </row>
    <row r="17" spans="1:6" x14ac:dyDescent="0.2">
      <c r="D17" t="s">
        <v>10</v>
      </c>
      <c r="E17" s="27">
        <f>IF(E21&gt;30000000,30000000,IF(E21&lt;0,0,+E21))</f>
        <v>0</v>
      </c>
    </row>
    <row r="18" spans="1:6" x14ac:dyDescent="0.2">
      <c r="D18" t="s">
        <v>11</v>
      </c>
      <c r="E18" s="27">
        <f>B19-SUM(E13:E17)</f>
        <v>-111791572.54993334</v>
      </c>
    </row>
    <row r="19" spans="1:6" ht="13.5" thickBot="1" x14ac:dyDescent="0.25">
      <c r="B19" s="13">
        <f>SUM(B13:B18)</f>
        <v>196886198.66666666</v>
      </c>
      <c r="E19" s="35">
        <f>SUM(E13:E18)</f>
        <v>196886198.66666666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93" t="s">
        <v>51</v>
      </c>
      <c r="B21" s="93"/>
      <c r="C21" s="93"/>
      <c r="E21" s="12">
        <f>+B19-E13-E14-E15-E16</f>
        <v>-111791572.54993334</v>
      </c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-350431634</v>
      </c>
    </row>
    <row r="27" spans="1:6" x14ac:dyDescent="0.2">
      <c r="A27" t="s">
        <v>71</v>
      </c>
      <c r="C27" s="27">
        <f>IF(B16&lt;&gt;0,B16,-E15)</f>
        <v>-256912167</v>
      </c>
    </row>
    <row r="28" spans="1:6" x14ac:dyDescent="0.2">
      <c r="A28" t="s">
        <v>56</v>
      </c>
      <c r="C28" s="36">
        <f>'50 NR'!K4-'258 NP'!J4-'50 NP'!J4</f>
        <v>-1406967.3333333333</v>
      </c>
    </row>
    <row r="29" spans="1:6" x14ac:dyDescent="0.2">
      <c r="A29" t="s">
        <v>59</v>
      </c>
      <c r="C29" s="27">
        <f>C25+C26+C27+C28</f>
        <v>-111775968.33333333</v>
      </c>
    </row>
    <row r="30" spans="1:6" x14ac:dyDescent="0.2">
      <c r="A30" t="s">
        <v>57</v>
      </c>
      <c r="C30" s="27">
        <f>E18</f>
        <v>-111791572.54993334</v>
      </c>
    </row>
    <row r="31" spans="1:6" x14ac:dyDescent="0.2">
      <c r="A31" t="s">
        <v>61</v>
      </c>
      <c r="C31" s="27">
        <f>E17</f>
        <v>0</v>
      </c>
    </row>
    <row r="32" spans="1:6" x14ac:dyDescent="0.2">
      <c r="A32" t="s">
        <v>58</v>
      </c>
      <c r="C32" s="36">
        <f>E16</f>
        <v>15604.216600000002</v>
      </c>
    </row>
    <row r="33" spans="1:4" x14ac:dyDescent="0.2">
      <c r="A33" t="s">
        <v>62</v>
      </c>
      <c r="C33" s="27">
        <f>C29-C30-C31-C32</f>
        <v>1.5757905202917755E-8</v>
      </c>
      <c r="D33" s="62" t="str">
        <f>IF(ROUND(C33,1)=0,"OK","Not OK")</f>
        <v>OK</v>
      </c>
    </row>
    <row r="34" spans="1:4" x14ac:dyDescent="0.2">
      <c r="C34" s="27"/>
    </row>
    <row r="35" spans="1:4" ht="13.5" thickBot="1" x14ac:dyDescent="0.25">
      <c r="A35" s="93" t="s">
        <v>72</v>
      </c>
      <c r="B35" s="93"/>
      <c r="C35" s="93"/>
    </row>
    <row r="36" spans="1:4" x14ac:dyDescent="0.2">
      <c r="A36" t="s">
        <v>137</v>
      </c>
      <c r="C36" s="27">
        <f>B19</f>
        <v>196886198.66666666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51750000</v>
      </c>
    </row>
    <row r="39" spans="1:4" x14ac:dyDescent="0.2">
      <c r="A39" t="s">
        <v>142</v>
      </c>
      <c r="C39" s="27">
        <f>E13</f>
        <v>0</v>
      </c>
    </row>
    <row r="40" spans="1:4" x14ac:dyDescent="0.2">
      <c r="A40" t="s">
        <v>141</v>
      </c>
      <c r="C40" s="27">
        <f>E16</f>
        <v>15604.216600000002</v>
      </c>
    </row>
    <row r="41" spans="1:4" x14ac:dyDescent="0.2">
      <c r="A41" t="s">
        <v>140</v>
      </c>
      <c r="C41" s="36">
        <f>E15-B16</f>
        <v>256912167</v>
      </c>
    </row>
    <row r="42" spans="1:4" ht="13.5" thickBot="1" x14ac:dyDescent="0.25">
      <c r="C42" s="35">
        <f>C36-SUM(C38:C41)</f>
        <v>-111791572.54993334</v>
      </c>
    </row>
    <row r="43" spans="1:4" ht="13.5" thickTop="1" x14ac:dyDescent="0.2">
      <c r="C43" s="27"/>
    </row>
    <row r="44" spans="1:4" ht="13.5" thickBot="1" x14ac:dyDescent="0.25">
      <c r="A44" s="93" t="s">
        <v>12</v>
      </c>
      <c r="B44" s="93"/>
      <c r="C44" s="93"/>
    </row>
    <row r="45" spans="1:4" x14ac:dyDescent="0.2">
      <c r="A45" t="s">
        <v>13</v>
      </c>
      <c r="C45" s="12">
        <f>+E19</f>
        <v>196886198.66666666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15604.216600000002</v>
      </c>
    </row>
    <row r="48" spans="1:4" x14ac:dyDescent="0.2">
      <c r="A48" t="s">
        <v>16</v>
      </c>
      <c r="C48" s="5">
        <f>C45+C46-C47</f>
        <v>197870594.45006666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5975691.9523920128</v>
      </c>
    </row>
    <row r="51" spans="1:3" x14ac:dyDescent="0.2">
      <c r="A51" t="s">
        <v>19</v>
      </c>
      <c r="C51" s="14">
        <f>+C47</f>
        <v>15604.216600000002</v>
      </c>
    </row>
    <row r="52" spans="1:3" x14ac:dyDescent="0.2">
      <c r="A52" t="s">
        <v>20</v>
      </c>
      <c r="C52" s="12">
        <f>C51-C50</f>
        <v>-5960087.7357920129</v>
      </c>
    </row>
    <row r="53" spans="1:3" x14ac:dyDescent="0.2">
      <c r="A53" s="9" t="s">
        <v>21</v>
      </c>
      <c r="B53" s="10"/>
      <c r="C53" s="11">
        <f>C52/C49</f>
        <v>-197353898.53615937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-575530298.5361594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36959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18059256.787500001</v>
      </c>
      <c r="H5" s="28">
        <v>1976250</v>
      </c>
      <c r="I5" s="45">
        <v>0.15</v>
      </c>
      <c r="J5" s="27">
        <f>B2-B5</f>
        <v>343</v>
      </c>
      <c r="K5">
        <f>'A Amort'!N5</f>
        <v>1983660.9375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87142837.862880006</v>
      </c>
      <c r="H6" s="28">
        <v>3954146</v>
      </c>
      <c r="I6" s="45">
        <v>0.15</v>
      </c>
      <c r="J6" s="27">
        <f>B2-B6</f>
        <v>161</v>
      </c>
      <c r="K6" s="41">
        <f>'B_D Amort'!N5</f>
        <v>3968974.0474999999</v>
      </c>
    </row>
    <row r="7" spans="1:11" x14ac:dyDescent="0.2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29168844.645149998</v>
      </c>
      <c r="H7" s="28">
        <v>900355</v>
      </c>
      <c r="I7" s="45">
        <v>0.15</v>
      </c>
      <c r="J7" s="27">
        <f>B2-B7</f>
        <v>193</v>
      </c>
      <c r="K7" s="41">
        <f>'C Amort'!N5</f>
        <v>903731.33125000005</v>
      </c>
    </row>
    <row r="8" spans="1:11" ht="13.5" thickBot="1" x14ac:dyDescent="0.25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134370939.29553002</v>
      </c>
      <c r="H8" s="35">
        <f>SUM(H5:H7)</f>
        <v>6830751</v>
      </c>
      <c r="K8" s="35">
        <f>SUM(K5:K7)</f>
        <v>6856366.3162499992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6.47</v>
      </c>
    </row>
    <row r="13" spans="1:11" x14ac:dyDescent="0.2">
      <c r="A13" s="96" t="s">
        <v>120</v>
      </c>
      <c r="B13" s="96"/>
      <c r="C13" s="96"/>
      <c r="D13" s="96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98315792</v>
      </c>
    </row>
    <row r="16" spans="1:11" x14ac:dyDescent="0.2">
      <c r="A16" t="s">
        <v>79</v>
      </c>
      <c r="B16" s="28">
        <f>'B_D TRS'!B19</f>
        <v>0</v>
      </c>
      <c r="C16" s="28">
        <f>'B_D TRS'!B20</f>
        <v>118943500</v>
      </c>
    </row>
    <row r="17" spans="1:3" x14ac:dyDescent="0.2">
      <c r="A17" t="s">
        <v>80</v>
      </c>
      <c r="B17" s="28">
        <f>'C TRS'!B19</f>
        <v>0</v>
      </c>
      <c r="C17" s="28">
        <f>'C TRS'!B20</f>
        <v>39652875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256912167</v>
      </c>
    </row>
    <row r="19" spans="1:3" ht="13.5" thickTop="1" x14ac:dyDescent="0.2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36959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9</v>
      </c>
      <c r="F2"/>
      <c r="G2" s="41" t="s">
        <v>99</v>
      </c>
      <c r="H2" s="25">
        <f>VLOOKUP(H1,A_Debt,1)</f>
        <v>36950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35506.787500000006</v>
      </c>
      <c r="F4" s="41">
        <f>VLOOKUP($H$1+30,A_Debt,5)</f>
        <v>118355.95833333336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7410.9375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18059256.787500001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1983660.9375</v>
      </c>
    </row>
    <row r="6" spans="1:15" ht="13.5" thickTop="1" x14ac:dyDescent="0.2">
      <c r="E6" s="27"/>
      <c r="J6" s="1" t="s">
        <v>34</v>
      </c>
      <c r="K6" s="24">
        <f>PMT(K4/12,K5,-K3)</f>
        <v>57686.972211215965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18059256.787500001</v>
      </c>
      <c r="E4" s="28">
        <f>'Hawaii Summary'!H5</f>
        <v>1976250</v>
      </c>
      <c r="F4" s="45">
        <f>'Hawaii Summary'!I5</f>
        <v>0.15</v>
      </c>
      <c r="G4" s="28">
        <f>'Hawaii Summary'!J5</f>
        <v>343</v>
      </c>
      <c r="H4" s="28">
        <f>'Hawaii Summary'!K5</f>
        <v>1983660.9375</v>
      </c>
      <c r="I4" s="41"/>
    </row>
    <row r="6" spans="1:9" x14ac:dyDescent="0.2">
      <c r="A6" t="s">
        <v>75</v>
      </c>
      <c r="B6" s="48">
        <f>'Hawaii Summary'!B11</f>
        <v>6.47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7" t="s">
        <v>124</v>
      </c>
      <c r="F9" s="97"/>
      <c r="G9" s="97"/>
    </row>
    <row r="10" spans="1:9" x14ac:dyDescent="0.2">
      <c r="A10" t="s">
        <v>106</v>
      </c>
      <c r="B10" s="28">
        <f>B4*'Notional Analysis'!C8*'B_D TRS'!B6</f>
        <v>43778608</v>
      </c>
      <c r="C10" s="28">
        <f>B4*B7*'Notional Analysis'!C8</f>
        <v>142094400</v>
      </c>
      <c r="E10" t="s">
        <v>122</v>
      </c>
      <c r="G10" s="20">
        <f>B4*B6*'Notional Analysis'!C8</f>
        <v>43778607.999999993</v>
      </c>
    </row>
    <row r="11" spans="1:9" x14ac:dyDescent="0.2">
      <c r="A11" t="s">
        <v>108</v>
      </c>
      <c r="B11" s="20">
        <f>D4+H4</f>
        <v>20042917.725000001</v>
      </c>
      <c r="C11" s="28">
        <f>B11</f>
        <v>20042917.725000001</v>
      </c>
      <c r="E11" t="s">
        <v>123</v>
      </c>
      <c r="G11" s="54">
        <f>D4+H4</f>
        <v>20042917.725000001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23735690.274999991</v>
      </c>
    </row>
    <row r="13" spans="1:9" x14ac:dyDescent="0.2">
      <c r="C13" s="28"/>
      <c r="E13" t="s">
        <v>75</v>
      </c>
      <c r="F13" s="20">
        <f>B4*B6*'Notional Analysis'!C8</f>
        <v>43778607.999999993</v>
      </c>
    </row>
    <row r="14" spans="1:9" x14ac:dyDescent="0.2">
      <c r="A14" t="s">
        <v>109</v>
      </c>
      <c r="B14" s="20">
        <f>D4</f>
        <v>18059256.787500001</v>
      </c>
      <c r="C14" s="28">
        <f>B14</f>
        <v>18059256.787500001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41802358</v>
      </c>
      <c r="C15" s="59">
        <f>C10-E4+C12</f>
        <v>140118150</v>
      </c>
      <c r="F15" s="20"/>
      <c r="G15" s="20">
        <f>-F14+F13</f>
        <v>-98315792</v>
      </c>
    </row>
    <row r="16" spans="1:9" ht="13.5" thickBot="1" x14ac:dyDescent="0.25">
      <c r="A16" t="s">
        <v>117</v>
      </c>
      <c r="B16" s="20">
        <f>B15-B14</f>
        <v>23743101.212499999</v>
      </c>
      <c r="C16" s="60">
        <f>C15-C14</f>
        <v>122058893.21250001</v>
      </c>
      <c r="D16" s="61" t="s">
        <v>115</v>
      </c>
      <c r="F16" s="20"/>
      <c r="G16" s="17">
        <f>G12-G15</f>
        <v>122051482.27499999</v>
      </c>
      <c r="H16" s="20">
        <f>C16-G16</f>
        <v>7410.9375000149012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98315792</v>
      </c>
      <c r="C20" s="28"/>
    </row>
    <row r="21" spans="1:3" x14ac:dyDescent="0.2">
      <c r="A21" t="s">
        <v>116</v>
      </c>
      <c r="B21" s="20">
        <f>B16-B19+B20</f>
        <v>122058893.21250001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36959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9</v>
      </c>
      <c r="F2"/>
      <c r="G2" s="41" t="s">
        <v>99</v>
      </c>
      <c r="H2" s="25">
        <f>VLOOKUP(H1,BD_Debt,1)</f>
        <v>36950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171333.86288000003</v>
      </c>
      <c r="F4" s="41">
        <f>VLOOKUP($H$1+30,BD_Debt,5)</f>
        <v>571112.8762666668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14828.047500000002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87142837.862880006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3968974.0474999999</v>
      </c>
    </row>
    <row r="6" spans="1:15" ht="13.5" thickTop="1" x14ac:dyDescent="0.2">
      <c r="E6" s="27"/>
      <c r="J6" s="1" t="s">
        <v>34</v>
      </c>
      <c r="K6" s="24">
        <f>PMT(K4/12,K5,-K3)</f>
        <v>128721.89226982737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87142837.862880006</v>
      </c>
      <c r="E4" s="28">
        <f>'Hawaii Summary'!H6</f>
        <v>3954146</v>
      </c>
      <c r="F4" s="45">
        <f>'Hawaii Summary'!I6</f>
        <v>0.15</v>
      </c>
      <c r="G4" s="27">
        <f>'Hawaii Summary'!J6</f>
        <v>161</v>
      </c>
      <c r="H4" s="41">
        <f>'Hawaii Summary'!K6</f>
        <v>3968974.0474999999</v>
      </c>
      <c r="I4" s="41"/>
    </row>
    <row r="6" spans="1:9" x14ac:dyDescent="0.2">
      <c r="A6" t="s">
        <v>75</v>
      </c>
      <c r="B6" s="48">
        <f>'Hawaii Summary'!B11</f>
        <v>6.47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7" t="s">
        <v>124</v>
      </c>
      <c r="F9" s="97"/>
      <c r="G9" s="97"/>
    </row>
    <row r="10" spans="1:9" x14ac:dyDescent="0.2">
      <c r="A10" t="s">
        <v>106</v>
      </c>
      <c r="B10" s="28">
        <f>B4*'Notional Analysis'!C8*'B_D TRS'!B6</f>
        <v>54724554</v>
      </c>
      <c r="C10" s="28">
        <f>B4*B7*'Notional Analysis'!C8</f>
        <v>177622200</v>
      </c>
      <c r="E10" t="s">
        <v>122</v>
      </c>
      <c r="G10" s="20">
        <f>B4*B6*'Notional Analysis'!C8</f>
        <v>54724553.999999993</v>
      </c>
    </row>
    <row r="11" spans="1:9" x14ac:dyDescent="0.2">
      <c r="A11" t="s">
        <v>108</v>
      </c>
      <c r="B11" s="20">
        <f>D4+H4</f>
        <v>91111811.910380006</v>
      </c>
      <c r="C11" s="28">
        <f>B11</f>
        <v>91111811.910380006</v>
      </c>
      <c r="E11" t="s">
        <v>123</v>
      </c>
      <c r="G11" s="54">
        <f>D4+H4</f>
        <v>91111811.910380006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-36387257.910380013</v>
      </c>
    </row>
    <row r="13" spans="1:9" x14ac:dyDescent="0.2">
      <c r="C13" s="28"/>
      <c r="E13" t="s">
        <v>75</v>
      </c>
      <c r="F13" s="20">
        <f>B4*B6*'Notional Analysis'!C8</f>
        <v>54724553.999999993</v>
      </c>
    </row>
    <row r="14" spans="1:9" x14ac:dyDescent="0.2">
      <c r="A14" t="s">
        <v>109</v>
      </c>
      <c r="B14" s="20">
        <f>D4</f>
        <v>87142837.862880006</v>
      </c>
      <c r="C14" s="28">
        <f>B14</f>
        <v>87142837.862880006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54724554</v>
      </c>
      <c r="C15" s="59">
        <f>C10-E4+C12</f>
        <v>173668054</v>
      </c>
      <c r="F15" s="20"/>
      <c r="G15" s="20">
        <f>-F14+F13</f>
        <v>-122897646</v>
      </c>
    </row>
    <row r="16" spans="1:9" ht="13.5" thickBot="1" x14ac:dyDescent="0.25">
      <c r="A16" t="s">
        <v>117</v>
      </c>
      <c r="B16" s="20">
        <f>B15-B14</f>
        <v>-32418283.862880006</v>
      </c>
      <c r="C16" s="60">
        <f>C15-C14</f>
        <v>86525216.137119994</v>
      </c>
      <c r="D16" s="61" t="s">
        <v>115</v>
      </c>
      <c r="F16" s="20"/>
      <c r="G16" s="17">
        <f>G12-G15</f>
        <v>86510388.089619994</v>
      </c>
      <c r="H16" s="20">
        <f>C16-G16</f>
        <v>14828.047499999404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118943500</v>
      </c>
      <c r="C20" s="28"/>
    </row>
    <row r="21" spans="1:3" x14ac:dyDescent="0.2">
      <c r="A21" t="s">
        <v>116</v>
      </c>
      <c r="B21" s="20">
        <f>-B14+B15-B19+B20</f>
        <v>86525216.137119994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36959</v>
      </c>
      <c r="J1" s="1" t="s">
        <v>86</v>
      </c>
    </row>
    <row r="2" spans="1:15" x14ac:dyDescent="0.2">
      <c r="D2" t="s">
        <v>87</v>
      </c>
      <c r="E2" s="27">
        <f>H1-H2</f>
        <v>9</v>
      </c>
      <c r="F2"/>
      <c r="G2" s="41" t="s">
        <v>99</v>
      </c>
      <c r="H2" s="25">
        <f>VLOOKUP(H1,C_Debt,1)</f>
        <v>36950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57349.645150000011</v>
      </c>
      <c r="F4" s="41">
        <f>VLOOKUP($H$1+30,C_Debt,5)</f>
        <v>191165.48383333336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3376.3312500000002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29168844.645149998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903731.33125000005</v>
      </c>
    </row>
    <row r="6" spans="1:15" ht="13.5" thickTop="1" x14ac:dyDescent="0.2">
      <c r="E6" s="27"/>
      <c r="J6" s="1" t="s">
        <v>34</v>
      </c>
      <c r="K6" s="24">
        <f>PMT(K4/12,K5,-K3)</f>
        <v>28740.604619660302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29168844.645149998</v>
      </c>
      <c r="E4" s="28">
        <f>'Hawaii Summary'!H7</f>
        <v>900355</v>
      </c>
      <c r="F4" s="45">
        <f>'Hawaii Summary'!I7</f>
        <v>0.15</v>
      </c>
      <c r="G4" s="27">
        <f>'Hawaii Summary'!J7</f>
        <v>193</v>
      </c>
      <c r="H4" s="28">
        <f>'Hawaii Summary'!K7</f>
        <v>903731.33125000005</v>
      </c>
      <c r="I4" s="41"/>
    </row>
    <row r="6" spans="1:9" x14ac:dyDescent="0.2">
      <c r="A6" t="s">
        <v>75</v>
      </c>
      <c r="B6" s="48">
        <f>'Hawaii Summary'!B11</f>
        <v>6.47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7" t="s">
        <v>124</v>
      </c>
      <c r="F9" s="97"/>
      <c r="G9" s="97"/>
    </row>
    <row r="10" spans="1:9" x14ac:dyDescent="0.2">
      <c r="A10" t="s">
        <v>106</v>
      </c>
      <c r="B10" s="28">
        <f>B4*'Notional Analysis'!C8*'B_D TRS'!B6</f>
        <v>18057770</v>
      </c>
      <c r="C10" s="28">
        <f>B4*B7*'Notional Analysis'!C8</f>
        <v>58611000</v>
      </c>
      <c r="E10" t="s">
        <v>122</v>
      </c>
      <c r="G10" s="20">
        <f>B4*B6*'Notional Analysis'!C8</f>
        <v>18057770</v>
      </c>
    </row>
    <row r="11" spans="1:9" x14ac:dyDescent="0.2">
      <c r="A11" t="s">
        <v>108</v>
      </c>
      <c r="B11" s="20">
        <f>D4+H4</f>
        <v>30072575.976399999</v>
      </c>
      <c r="C11" s="28">
        <f>B11</f>
        <v>30072575.976399999</v>
      </c>
      <c r="E11" t="s">
        <v>123</v>
      </c>
      <c r="G11" s="54">
        <f>D4+H4</f>
        <v>30072575.976399999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-12014805.976399999</v>
      </c>
    </row>
    <row r="13" spans="1:9" x14ac:dyDescent="0.2">
      <c r="C13" s="28"/>
      <c r="E13" t="s">
        <v>75</v>
      </c>
      <c r="F13" s="20">
        <f>B4*B6*'Notional Analysis'!C8</f>
        <v>18057770</v>
      </c>
    </row>
    <row r="14" spans="1:9" x14ac:dyDescent="0.2">
      <c r="A14" t="s">
        <v>109</v>
      </c>
      <c r="B14" s="20">
        <f>D4</f>
        <v>29168844.645149998</v>
      </c>
      <c r="C14" s="28">
        <f>B14</f>
        <v>29168844.645149998</v>
      </c>
      <c r="E14" t="s">
        <v>104</v>
      </c>
      <c r="F14" s="20">
        <f>B7*B4*'Notional Analysis'!C8</f>
        <v>58611000</v>
      </c>
    </row>
    <row r="15" spans="1:9" x14ac:dyDescent="0.2">
      <c r="A15" t="s">
        <v>110</v>
      </c>
      <c r="B15" s="54">
        <f>B10-E4+B12</f>
        <v>18057770</v>
      </c>
      <c r="C15" s="59">
        <f>C10-E4+C12</f>
        <v>57710645</v>
      </c>
      <c r="F15" s="20"/>
      <c r="G15" s="20">
        <f>-F14+F13</f>
        <v>-40553230</v>
      </c>
    </row>
    <row r="16" spans="1:9" ht="13.5" thickBot="1" x14ac:dyDescent="0.25">
      <c r="A16" t="s">
        <v>117</v>
      </c>
      <c r="B16" s="20">
        <f>B15-B14</f>
        <v>-11111074.645149998</v>
      </c>
      <c r="C16" s="60">
        <f>C15-C14</f>
        <v>28541800.354850002</v>
      </c>
      <c r="D16" s="61" t="s">
        <v>115</v>
      </c>
      <c r="F16" s="20"/>
      <c r="G16" s="17">
        <f>G12-G15</f>
        <v>28538424.023600001</v>
      </c>
      <c r="H16" s="20">
        <f>C16-G16</f>
        <v>3376.3312500007451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57710645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39652875</v>
      </c>
      <c r="C20" s="28"/>
      <c r="F20" s="20"/>
    </row>
    <row r="21" spans="1:6" x14ac:dyDescent="0.2">
      <c r="A21" t="s">
        <v>116</v>
      </c>
      <c r="B21" s="20">
        <f>-B14+B15-B19+B20</f>
        <v>28541800.354850002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50 NR</vt:lpstr>
      <vt:lpstr>258 NP</vt:lpstr>
      <vt:lpstr>50 NP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2000-11-07T19:50:20Z</cp:lastPrinted>
  <dcterms:created xsi:type="dcterms:W3CDTF">2000-10-03T19:16:39Z</dcterms:created>
  <dcterms:modified xsi:type="dcterms:W3CDTF">2023-09-13T13:53:27Z</dcterms:modified>
</cp:coreProperties>
</file>